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924"/>
  </bookViews>
  <sheets>
    <sheet name="PCO" sheetId="1" r:id="rId1"/>
  </sheets>
  <definedNames>
    <definedName name="_xlnm.Print_Area" localSheetId="0">PCO!$C$1:$K$188</definedName>
    <definedName name="Print_Area_0" localSheetId="0">PCO!$C$1:$O$188</definedName>
    <definedName name="Print_Area_0_0" localSheetId="0">PCO!$C$1:$O$188</definedName>
    <definedName name="Print_Area_0_0_0" localSheetId="0">PCO!$C$1:$O$188</definedName>
    <definedName name="SHARED_FORMULA_12_34_12_34_3">NA()</definedName>
    <definedName name="SHARED_FORMULA_12_35_12_35_2">NA()</definedName>
    <definedName name="SHARED_FORMULA_12_36_12_36_4">NA()</definedName>
    <definedName name="SHARED_FORMULA_12_9_12_9_3">NA()</definedName>
    <definedName name="SHARED_FORMULA_12_9_12_9_4">NA()</definedName>
    <definedName name="SHARED_FORMULA_13_34_13_34_3">NA()</definedName>
    <definedName name="SHARED_FORMULA_13_35_13_35_2">NA()</definedName>
    <definedName name="SHARED_FORMULA_2_13_2_13_1">#REF!/#REF!</definedName>
    <definedName name="SHARED_FORMULA_2_22_2_22_1">#REF!/#REF!</definedName>
    <definedName name="SHARED_FORMULA_2_33_2_33_1">#REF!/#REF!</definedName>
    <definedName name="SHARED_FORMULA_2_4_2_4_1">#REF!/#REF!</definedName>
    <definedName name="SHARED_FORMULA_2_40_2_40_1">#REF!/#REF!</definedName>
    <definedName name="SHARED_FORMULA_2_47_2_47_1">#REF!/#REF!</definedName>
    <definedName name="SHARED_FORMULA_2_56_2_56_1">#REF!/#REF!</definedName>
    <definedName name="SHARED_FORMULA_2_64_2_64_1">#REF!/#REF!</definedName>
    <definedName name="SHARED_FORMULA_2_72_2_72_1">#REF!/#REF!</definedName>
    <definedName name="SHARED_FORMULA_2_85_2_85_1">#REF!/#REF!</definedName>
    <definedName name="SHARED_FORMULA_27_2_27_2_0">#REF!-#REF!</definedName>
    <definedName name="SHARED_FORMULA_4_13_4_13_1">#REF!*#REF!</definedName>
    <definedName name="SHARED_FORMULA_4_22_4_22_1">#REF!*#REF!</definedName>
    <definedName name="SHARED_FORMULA_4_33_4_33_1">#REF!*#REF!</definedName>
    <definedName name="SHARED_FORMULA_4_4_4_4_1">#REF!*#REF!</definedName>
    <definedName name="SHARED_FORMULA_4_40_4_40_1">#REF!*#REF!</definedName>
    <definedName name="SHARED_FORMULA_4_47_4_47_1">#REF!*#REF!</definedName>
    <definedName name="SHARED_FORMULA_4_56_4_56_1">#REF!*#REF!</definedName>
    <definedName name="SHARED_FORMULA_4_64_4_64_1">#REF!*#REF!</definedName>
    <definedName name="SHARED_FORMULA_4_72_4_72_1">#REF!*#REF!</definedName>
    <definedName name="SHARED_FORMULA_4_85_4_85_1">#REF!*#REF!</definedName>
  </definedNames>
  <calcPr calcId="125725"/>
</workbook>
</file>

<file path=xl/calcChain.xml><?xml version="1.0" encoding="utf-8"?>
<calcChain xmlns="http://schemas.openxmlformats.org/spreadsheetml/2006/main">
  <c r="E181" i="1"/>
  <c r="E180"/>
  <c r="D161"/>
  <c r="D133"/>
  <c r="D151"/>
  <c r="D149"/>
  <c r="D126"/>
  <c r="D125"/>
  <c r="D124"/>
  <c r="D123"/>
  <c r="D122"/>
  <c r="D121"/>
  <c r="H121"/>
  <c r="I29" l="1"/>
  <c r="E122"/>
  <c r="D148" l="1"/>
  <c r="F68"/>
  <c r="D68"/>
  <c r="D70"/>
  <c r="D69"/>
  <c r="H56"/>
  <c r="G68" l="1"/>
  <c r="H185" l="1"/>
  <c r="H181"/>
  <c r="H180"/>
  <c r="E143"/>
  <c r="G126"/>
  <c r="H126" s="1"/>
  <c r="G125"/>
  <c r="H125" s="1"/>
  <c r="H124"/>
  <c r="G123"/>
  <c r="H123" s="1"/>
  <c r="H122"/>
  <c r="D106"/>
  <c r="F106" s="1"/>
  <c r="D89"/>
  <c r="D93" s="1"/>
  <c r="F70"/>
  <c r="G70" s="1"/>
  <c r="F69"/>
  <c r="G69" s="1"/>
  <c r="F64"/>
  <c r="F63"/>
  <c r="F62"/>
  <c r="H58"/>
  <c r="G49"/>
  <c r="I49" s="1"/>
  <c r="G48"/>
  <c r="I48" s="1"/>
  <c r="G47"/>
  <c r="I47" s="1"/>
  <c r="G46"/>
  <c r="I46" s="1"/>
  <c r="G45"/>
  <c r="I45" s="1"/>
  <c r="G44"/>
  <c r="I44" s="1"/>
  <c r="D21"/>
  <c r="D94" l="1"/>
  <c r="G57"/>
  <c r="H57" s="1"/>
  <c r="E17"/>
  <c r="E16"/>
  <c r="E11"/>
  <c r="E12"/>
  <c r="I50"/>
  <c r="I31" s="1"/>
  <c r="H127"/>
  <c r="D130" s="1"/>
  <c r="D136"/>
  <c r="D138"/>
  <c r="E6"/>
  <c r="E14"/>
  <c r="E9"/>
  <c r="E19"/>
  <c r="E5"/>
  <c r="E10"/>
  <c r="E13"/>
  <c r="E15"/>
  <c r="E18"/>
  <c r="E20"/>
  <c r="E94"/>
  <c r="E95" s="1"/>
  <c r="D139"/>
  <c r="E8"/>
  <c r="D137"/>
  <c r="G21" l="1"/>
  <c r="I23" s="1"/>
  <c r="J57"/>
  <c r="J56"/>
  <c r="J58"/>
  <c r="E70" s="1"/>
  <c r="E21"/>
  <c r="D131"/>
  <c r="D127"/>
  <c r="H70" l="1"/>
  <c r="H71" s="1"/>
  <c r="I32" s="1"/>
  <c r="E69"/>
  <c r="E71" s="1"/>
  <c r="H69"/>
  <c r="E68"/>
  <c r="H68"/>
  <c r="F71"/>
  <c r="D113" l="1"/>
  <c r="F113" s="1"/>
  <c r="I24"/>
  <c r="D132"/>
  <c r="I33" l="1"/>
  <c r="D105"/>
  <c r="D104"/>
  <c r="F104" s="1"/>
  <c r="I30"/>
  <c r="D111"/>
  <c r="F105"/>
  <c r="D112"/>
  <c r="F112" s="1"/>
  <c r="D140"/>
  <c r="D114" l="1"/>
  <c r="F111"/>
  <c r="F114" s="1"/>
  <c r="D116"/>
  <c r="D160"/>
  <c r="F107"/>
  <c r="I26"/>
  <c r="D158" s="1"/>
  <c r="D100" l="1"/>
  <c r="D159" l="1"/>
  <c r="D163" l="1"/>
  <c r="D166" s="1"/>
  <c r="E159" l="1"/>
  <c r="E160"/>
  <c r="H183"/>
  <c r="H187" s="1"/>
  <c r="H178"/>
  <c r="E158"/>
  <c r="E161"/>
  <c r="D164"/>
  <c r="D168"/>
  <c r="E163" l="1"/>
  <c r="E174"/>
  <c r="G174" s="1"/>
  <c r="E173"/>
  <c r="G173" s="1"/>
  <c r="E176"/>
  <c r="G176" s="1"/>
</calcChain>
</file>

<file path=xl/sharedStrings.xml><?xml version="1.0" encoding="utf-8"?>
<sst xmlns="http://schemas.openxmlformats.org/spreadsheetml/2006/main" count="214" uniqueCount="181">
  <si>
    <t>Categoria dos Veiculos</t>
  </si>
  <si>
    <t>Quantidade</t>
  </si>
  <si>
    <t>%</t>
  </si>
  <si>
    <t>Nº de Pneus p/ veiculo</t>
  </si>
  <si>
    <t>Preço (R$)</t>
  </si>
  <si>
    <t>32 - Micro Urbano s/Ar</t>
  </si>
  <si>
    <t>40 - Midi Médio Urbano s/AR</t>
  </si>
  <si>
    <t>43 -  Basico Médio Urbano c/AR</t>
  </si>
  <si>
    <t>44 - Basico Médio Urbano s/AR</t>
  </si>
  <si>
    <t>45 -Básico Médio Rodoviário c/AR</t>
  </si>
  <si>
    <t>47 - Padron 12 PES Urbano c/AR</t>
  </si>
  <si>
    <t>48 - Padron 12 PES Urbano s/AR</t>
  </si>
  <si>
    <t>49 - Padron 12 PES Rodoviario c/AR</t>
  </si>
  <si>
    <t>50 - Padron 12 PES Rodoviario s/AR</t>
  </si>
  <si>
    <t>51 - Padron 13 PES Urbano C/AR</t>
  </si>
  <si>
    <t>52 - Padron 13 PES Urbano s/AR</t>
  </si>
  <si>
    <t>60 - Padron 15 PES Urbano s/AR</t>
  </si>
  <si>
    <t>63 - Art.EXT PES Urbano C/AR</t>
  </si>
  <si>
    <t>64 - Art. EXT PES URBANO S/AR</t>
  </si>
  <si>
    <t>64 - BRT I ART.EXT PES Urbano C/AR</t>
  </si>
  <si>
    <t>Total</t>
  </si>
  <si>
    <t>Frete</t>
  </si>
  <si>
    <t>Veículo Padrão c/Rodagem (R$)</t>
  </si>
  <si>
    <t>Veículo Padrão s/Rodagem (R$)</t>
  </si>
  <si>
    <t>Custo Unitário Variável (R$/Km)</t>
  </si>
  <si>
    <t>Componentes do Custo Variável</t>
  </si>
  <si>
    <t>Combustível (R$/Km)</t>
  </si>
  <si>
    <t>ARLA (R$/Km) para 25,73% da frota fabricada a partir de 2014</t>
  </si>
  <si>
    <t>Lubrificantes (R$/Km)</t>
  </si>
  <si>
    <t>Rodagem (R$/Km)</t>
  </si>
  <si>
    <t>Peças/Acessórios (R$/Km)</t>
  </si>
  <si>
    <t>Combustível</t>
  </si>
  <si>
    <t>consumo do ARLA (l / km)</t>
  </si>
  <si>
    <t>Preço unitário do ARLA (R$)</t>
  </si>
  <si>
    <t>Rendimento do Óleo Diesel (Km / L)</t>
  </si>
  <si>
    <t>Preço do Óleo Diesel (R$)</t>
  </si>
  <si>
    <t>Lubrificantes</t>
  </si>
  <si>
    <t>Preço</t>
  </si>
  <si>
    <t>Índice de</t>
  </si>
  <si>
    <t>Custo por</t>
  </si>
  <si>
    <t>TEXACO</t>
  </si>
  <si>
    <t>PETROBRAS</t>
  </si>
  <si>
    <t>IPIRANGA</t>
  </si>
  <si>
    <t>Médio</t>
  </si>
  <si>
    <t>Consumo</t>
  </si>
  <si>
    <t>Quilometro</t>
  </si>
  <si>
    <t>Motor</t>
  </si>
  <si>
    <t>Diferencial</t>
  </si>
  <si>
    <t>Caixa de Marcha</t>
  </si>
  <si>
    <t>Freio</t>
  </si>
  <si>
    <t>Graxa</t>
  </si>
  <si>
    <t>Hidraulico</t>
  </si>
  <si>
    <t>Rodagem</t>
  </si>
  <si>
    <t>Classe</t>
  </si>
  <si>
    <t>Tipo</t>
  </si>
  <si>
    <t>Quant.</t>
  </si>
  <si>
    <t>Nº</t>
  </si>
  <si>
    <t>Pneu</t>
  </si>
  <si>
    <t>Recapagem</t>
  </si>
  <si>
    <t>veiculos</t>
  </si>
  <si>
    <t>de Rec.</t>
  </si>
  <si>
    <t>MEDIO</t>
  </si>
  <si>
    <t>PESADO</t>
  </si>
  <si>
    <t>ESPECIAL</t>
  </si>
  <si>
    <t>Vida Útil</t>
  </si>
  <si>
    <t>Camara</t>
  </si>
  <si>
    <t>Protetor</t>
  </si>
  <si>
    <t>Preço Total</t>
  </si>
  <si>
    <t>Participação no</t>
  </si>
  <si>
    <t>Custo da</t>
  </si>
  <si>
    <t>Participação</t>
  </si>
  <si>
    <t>dos Compon.</t>
  </si>
  <si>
    <t>Preço Médio</t>
  </si>
  <si>
    <t>Recap.</t>
  </si>
  <si>
    <t>Rodagem/KM</t>
  </si>
  <si>
    <t>Custo Médio</t>
  </si>
  <si>
    <t>Idade da Frota</t>
  </si>
  <si>
    <t>Ano</t>
  </si>
  <si>
    <t>Idade Média com renovação</t>
  </si>
  <si>
    <t>Qtd. até Vida Útil</t>
  </si>
  <si>
    <t>Percentual até Vida Útil</t>
  </si>
  <si>
    <t>Idade Média Após Vida Útil</t>
  </si>
  <si>
    <t>Qtd Após Vida Útil</t>
  </si>
  <si>
    <t>Idade Média atual</t>
  </si>
  <si>
    <t>Valor Residual</t>
  </si>
  <si>
    <t>Custo de Capital (R$/Veic/Ano)</t>
  </si>
  <si>
    <t>Anual</t>
  </si>
  <si>
    <t>% de</t>
  </si>
  <si>
    <t>Valor a</t>
  </si>
  <si>
    <t>Depreciação</t>
  </si>
  <si>
    <t>por Veículo</t>
  </si>
  <si>
    <t>Partic.</t>
  </si>
  <si>
    <t>Deprececiar</t>
  </si>
  <si>
    <t>Veículo</t>
  </si>
  <si>
    <t>-</t>
  </si>
  <si>
    <r>
      <t>Instalações e Equipamentos</t>
    </r>
    <r>
      <rPr>
        <sz val="8"/>
        <rFont val="Calibri"/>
        <family val="2"/>
        <charset val="1"/>
      </rPr>
      <t xml:space="preserve"> </t>
    </r>
  </si>
  <si>
    <t>TECNOLOGIA EMBARCADA (BILHETAGEM + CÂMERAS)</t>
  </si>
  <si>
    <t>TOTAL</t>
  </si>
  <si>
    <t>Valor Atual</t>
  </si>
  <si>
    <t>Percentual</t>
  </si>
  <si>
    <t>Remuneração</t>
  </si>
  <si>
    <t>Taxa</t>
  </si>
  <si>
    <t>Rememunerar</t>
  </si>
  <si>
    <t>do VP Total</t>
  </si>
  <si>
    <t>Instalações e Equip.</t>
  </si>
  <si>
    <t>Almoxarifado</t>
  </si>
  <si>
    <t>Custo Fixo (R$/Veíc/Ano)</t>
  </si>
  <si>
    <t>Pessoal de Operação</t>
  </si>
  <si>
    <t>Número de</t>
  </si>
  <si>
    <t>Fator de</t>
  </si>
  <si>
    <t>Salário</t>
  </si>
  <si>
    <t>Encargos</t>
  </si>
  <si>
    <t>Salário anual</t>
  </si>
  <si>
    <t>abono</t>
  </si>
  <si>
    <t>Equipes</t>
  </si>
  <si>
    <t>Utilização</t>
  </si>
  <si>
    <t>Mensal</t>
  </si>
  <si>
    <t>Sociais %</t>
  </si>
  <si>
    <t>Considerado</t>
  </si>
  <si>
    <t>Motorista</t>
  </si>
  <si>
    <t>Cobrador</t>
  </si>
  <si>
    <t>Fiscal</t>
  </si>
  <si>
    <t>Despachante</t>
  </si>
  <si>
    <t>Pessoal de Manutenção</t>
  </si>
  <si>
    <t>Manobreiro</t>
  </si>
  <si>
    <t>Comp. do Custo Fixo</t>
  </si>
  <si>
    <t>Valor (R$)</t>
  </si>
  <si>
    <t>% do VP</t>
  </si>
  <si>
    <t>Pessoal Administrativo</t>
  </si>
  <si>
    <t>Despesas Diversas</t>
  </si>
  <si>
    <t>Fardamento</t>
  </si>
  <si>
    <t>Seguro</t>
  </si>
  <si>
    <t>SRC</t>
  </si>
  <si>
    <t>Passe Livre</t>
  </si>
  <si>
    <t>Linhas Alimentadoras+Concessões</t>
  </si>
  <si>
    <t>QUILOMETRAGEM PROG. TOTAL (ANO)</t>
  </si>
  <si>
    <t>PASSAGEIRO EQUIVALENTE (ANO)</t>
  </si>
  <si>
    <t>IPK Equivalente</t>
  </si>
  <si>
    <t>PERCURSO MÉDIO ANUAL - PMA</t>
  </si>
  <si>
    <t>PASSAGEIRO TRANSPORTADO (ANO)</t>
  </si>
  <si>
    <t>SRC (R$/ANO)</t>
  </si>
  <si>
    <t>PASSE LIVRE/ANO (R$)</t>
  </si>
  <si>
    <t>LINHAS ALIMENTADORAS (R$/ANO)</t>
  </si>
  <si>
    <t>TERMINAIS/Ano (R$)</t>
  </si>
  <si>
    <t>ESTAÇÕES (R$/ANO)</t>
  </si>
  <si>
    <t>PASSAGEIRO DO ISS (ANO)</t>
  </si>
  <si>
    <t>CUSTO TOTAL ATUAL (R$/Km) (antes do reajuste)</t>
  </si>
  <si>
    <t>CUSTO VARIAVEL (R$/km)</t>
  </si>
  <si>
    <t>CUSTO CAPITAL (R$/km)</t>
  </si>
  <si>
    <t>CUSTO FIXO (R$/km)</t>
  </si>
  <si>
    <t>CUSTO DE IMPOSTO E TAXAS (R$/km)</t>
  </si>
  <si>
    <t>CUSTO TOTAL (R$/km) (aplicando planilha)</t>
  </si>
  <si>
    <t>% DE AUMENTO DO CUSTO</t>
  </si>
  <si>
    <t>TARIFA MÉDIA NECESSÁRIA (CALCULADA)</t>
  </si>
  <si>
    <t>TARIFA MÉDIA DE 2017 (IPK)</t>
  </si>
  <si>
    <t>FATOR DE AUMENTO DA TARIFA</t>
  </si>
  <si>
    <t>ANEL TARIFÁRIO</t>
  </si>
  <si>
    <t>TARIFA EXATA CALCULADA</t>
  </si>
  <si>
    <t>TARIFA</t>
  </si>
  <si>
    <t>% DE REAJUSTE</t>
  </si>
  <si>
    <t>PARTICIPAÇÃO</t>
  </si>
  <si>
    <t>PROPOSTA</t>
  </si>
  <si>
    <t>ANEL (A)</t>
  </si>
  <si>
    <t>ANEL (B)</t>
  </si>
  <si>
    <t>ANEL (D)</t>
  </si>
  <si>
    <t>ANEL (G)</t>
  </si>
  <si>
    <t>TARIFA DOMINGO ANEL (A);(D); e (G)</t>
  </si>
  <si>
    <t>TARIFA DOMINGO ANEL (B)</t>
  </si>
  <si>
    <t>TARIFA MÉDIA 2017 (R$)</t>
  </si>
  <si>
    <t>REAJUSTE MÉDIO EM RELAÇÃO A 2017 (%)</t>
  </si>
  <si>
    <t>215/76</t>
  </si>
  <si>
    <t>275/80</t>
  </si>
  <si>
    <t>295/80</t>
  </si>
  <si>
    <t>MÉDIO</t>
  </si>
  <si>
    <t>53 -  Padron 13 PES Rodoviario c/ AR</t>
  </si>
  <si>
    <t>TARIFA MÉDIA PROPOSTA 2019 (R$)</t>
  </si>
  <si>
    <t>Recomposição Tarifária 2019</t>
  </si>
  <si>
    <t>CUSTO DA TARIFA  PARA  2019</t>
  </si>
  <si>
    <t>COMPOSIÇÃO DAS NOVAS TARIFAS POR ANEL - 2019</t>
  </si>
  <si>
    <t>Terminais (26)</t>
  </si>
  <si>
    <t>Estações (48)</t>
  </si>
</sst>
</file>

<file path=xl/styles.xml><?xml version="1.0" encoding="utf-8"?>
<styleSheet xmlns="http://schemas.openxmlformats.org/spreadsheetml/2006/main">
  <numFmts count="28">
    <numFmt numFmtId="43" formatCode="_-* #,##0.00_-;\-* #,##0.00_-;_-* &quot;-&quot;??_-;_-@_-"/>
    <numFmt numFmtId="164" formatCode="* #,##0.00\ ;* \(#,##0.00\);* \-#\ ;@\ "/>
    <numFmt numFmtId="165" formatCode="_(* #,##0.00_);_(* \(#,##0.00\);_(* \-??_);_(@_)"/>
    <numFmt numFmtId="166" formatCode="#,##0.0000"/>
    <numFmt numFmtId="167" formatCode="0.0000"/>
    <numFmt numFmtId="168" formatCode="#,##0.000000"/>
    <numFmt numFmtId="169" formatCode="#,##0.00_);\(#,##0.00\)"/>
    <numFmt numFmtId="170" formatCode="0.000%"/>
    <numFmt numFmtId="171" formatCode="0.00000"/>
    <numFmt numFmtId="172" formatCode="0.000000"/>
    <numFmt numFmtId="173" formatCode="0.00000000"/>
    <numFmt numFmtId="174" formatCode="0.0%"/>
    <numFmt numFmtId="175" formatCode="#,##0.00000"/>
    <numFmt numFmtId="176" formatCode="0.000000000000"/>
    <numFmt numFmtId="177" formatCode="0.0000000000"/>
    <numFmt numFmtId="178" formatCode="#,##0.0000_);\(#,##0.0000\)"/>
    <numFmt numFmtId="179" formatCode="_(* #,##0.0000_);_(* \(#,##0.0000\);_(* \-????_);_(@_)"/>
    <numFmt numFmtId="180" formatCode="_(* #,##0_);_(* \(#,##0\);_(* \-??_);_(@_)"/>
    <numFmt numFmtId="181" formatCode="_-* #,##0.0000_-;\-* #,##0.0000_-;_-* \-????_-;_-@_-"/>
    <numFmt numFmtId="182" formatCode="_-* #,##0.00000_-;\-* #,##0.00000_-;_-* \-?????_-;_-@_-"/>
    <numFmt numFmtId="183" formatCode="_(* #,##0.0000_);_(* \(#,##0.0000\);_(* \-??_);_(@_)"/>
    <numFmt numFmtId="184" formatCode="_(* #,##0.00000_);_(* \(#,##0.00000\);_(* \-?????_);_(@_)"/>
    <numFmt numFmtId="185" formatCode="_-* #,##0.0000_-;\-* #,##0.0000_-;_-* \-??_-;_-@_-"/>
    <numFmt numFmtId="186" formatCode="0.000"/>
    <numFmt numFmtId="187" formatCode="_(* #,##0.000_);_(* \(#,##0.000\);_(* \-???_);_(@_)"/>
    <numFmt numFmtId="188" formatCode="_(* #,##0.000_);_(* \(#,##0.000\);_(* \-??_);_(@_)"/>
    <numFmt numFmtId="191" formatCode="0.0"/>
    <numFmt numFmtId="197" formatCode="_-* #,##0.00_-;\-* #,##0.00_-;_-* \-??_-;_-@_-"/>
  </numFmts>
  <fonts count="4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  <charset val="1"/>
    </font>
    <font>
      <sz val="9"/>
      <name val="Calibri"/>
      <family val="2"/>
      <charset val="1"/>
    </font>
    <font>
      <sz val="14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22"/>
      <name val="Arial"/>
      <family val="2"/>
      <charset val="1"/>
    </font>
    <font>
      <sz val="13"/>
      <name val="Arial"/>
      <family val="2"/>
      <charset val="1"/>
    </font>
    <font>
      <b/>
      <sz val="18"/>
      <name val="Arial"/>
      <family val="2"/>
      <charset val="1"/>
    </font>
    <font>
      <sz val="18"/>
      <name val="Arial"/>
      <family val="2"/>
      <charset val="1"/>
    </font>
    <font>
      <sz val="20"/>
      <name val="Arial"/>
      <family val="2"/>
      <charset val="1"/>
    </font>
    <font>
      <i/>
      <sz val="11"/>
      <color rgb="FF7F7F7F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22"/>
      <name val="Arial"/>
      <family val="2"/>
      <charset val="1"/>
    </font>
    <font>
      <sz val="11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FFFF99"/>
        <bgColor rgb="FFF2F2F2"/>
      </patternFill>
    </fill>
    <fill>
      <patternFill patternType="solid">
        <fgColor rgb="FFFFC000"/>
        <bgColor rgb="FFFF9900"/>
      </patternFill>
    </fill>
    <fill>
      <patternFill patternType="solid">
        <fgColor rgb="FFFCD5B5"/>
        <bgColor rgb="FFF2DCDB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3">
    <xf numFmtId="0" fontId="0" fillId="0" borderId="0"/>
    <xf numFmtId="165" fontId="25" fillId="0" borderId="0"/>
    <xf numFmtId="9" fontId="25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6" fillId="0" borderId="0"/>
    <xf numFmtId="9" fontId="26" fillId="0" borderId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37" fillId="8" borderId="6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26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0" fontId="38" fillId="0" borderId="0"/>
    <xf numFmtId="0" fontId="39" fillId="0" borderId="0"/>
    <xf numFmtId="197" fontId="39" fillId="0" borderId="0" applyFill="0" applyBorder="0" applyAlignment="0" applyProtection="0"/>
    <xf numFmtId="0" fontId="2" fillId="0" borderId="0"/>
    <xf numFmtId="0" fontId="40" fillId="0" borderId="0"/>
    <xf numFmtId="0" fontId="1" fillId="0" borderId="0"/>
    <xf numFmtId="9" fontId="1" fillId="0" borderId="0" applyFont="0" applyFill="0" applyBorder="0" applyAlignment="0" applyProtection="0"/>
  </cellStyleXfs>
  <cellXfs count="368">
    <xf numFmtId="0" fontId="0" fillId="0" borderId="0" xfId="0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/>
    </xf>
    <xf numFmtId="168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" fontId="9" fillId="0" borderId="0" xfId="0" applyNumberFormat="1" applyFont="1" applyBorder="1" applyAlignment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165" fontId="6" fillId="0" borderId="0" xfId="1" applyFont="1" applyBorder="1" applyAlignment="1" applyProtection="1"/>
    <xf numFmtId="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4" fontId="9" fillId="0" borderId="0" xfId="0" applyNumberFormat="1" applyFont="1" applyAlignment="1"/>
    <xf numFmtId="3" fontId="6" fillId="0" borderId="8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70" fontId="6" fillId="0" borderId="0" xfId="2" applyNumberFormat="1" applyFont="1" applyBorder="1" applyAlignment="1" applyProtection="1"/>
    <xf numFmtId="0" fontId="6" fillId="0" borderId="21" xfId="0" applyFont="1" applyBorder="1" applyAlignment="1">
      <alignment horizontal="center"/>
    </xf>
    <xf numFmtId="4" fontId="7" fillId="0" borderId="22" xfId="0" applyNumberFormat="1" applyFont="1" applyBorder="1"/>
    <xf numFmtId="0" fontId="6" fillId="0" borderId="21" xfId="0" applyFont="1" applyBorder="1"/>
    <xf numFmtId="0" fontId="5" fillId="0" borderId="21" xfId="0" applyFont="1" applyBorder="1" applyAlignment="1">
      <alignment horizontal="center"/>
    </xf>
    <xf numFmtId="171" fontId="5" fillId="0" borderId="22" xfId="0" applyNumberFormat="1" applyFont="1" applyBorder="1"/>
    <xf numFmtId="0" fontId="0" fillId="0" borderId="0" xfId="0" applyFont="1"/>
    <xf numFmtId="0" fontId="6" fillId="0" borderId="23" xfId="0" applyFont="1" applyBorder="1"/>
    <xf numFmtId="0" fontId="6" fillId="0" borderId="24" xfId="0" applyFont="1" applyBorder="1"/>
    <xf numFmtId="0" fontId="6" fillId="0" borderId="26" xfId="0" applyFont="1" applyBorder="1" applyAlignment="1">
      <alignment horizontal="center"/>
    </xf>
    <xf numFmtId="171" fontId="7" fillId="0" borderId="31" xfId="0" applyNumberFormat="1" applyFont="1" applyBorder="1" applyAlignment="1">
      <alignment horizontal="right"/>
    </xf>
    <xf numFmtId="0" fontId="6" fillId="0" borderId="30" xfId="0" applyFont="1" applyBorder="1" applyAlignment="1">
      <alignment horizontal="center"/>
    </xf>
    <xf numFmtId="171" fontId="7" fillId="0" borderId="31" xfId="0" applyNumberFormat="1" applyFont="1" applyBorder="1"/>
    <xf numFmtId="171" fontId="7" fillId="0" borderId="33" xfId="0" applyNumberFormat="1" applyFont="1" applyBorder="1"/>
    <xf numFmtId="0" fontId="6" fillId="0" borderId="34" xfId="0" applyFont="1" applyBorder="1"/>
    <xf numFmtId="0" fontId="6" fillId="0" borderId="26" xfId="0" applyFont="1" applyBorder="1" applyAlignment="1"/>
    <xf numFmtId="171" fontId="7" fillId="0" borderId="27" xfId="0" applyNumberFormat="1" applyFont="1" applyBorder="1" applyAlignment="1">
      <alignment horizontal="right"/>
    </xf>
    <xf numFmtId="0" fontId="6" fillId="0" borderId="30" xfId="0" applyFont="1" applyBorder="1" applyAlignment="1"/>
    <xf numFmtId="2" fontId="7" fillId="0" borderId="27" xfId="0" applyNumberFormat="1" applyFont="1" applyBorder="1" applyAlignment="1">
      <alignment horizontal="right"/>
    </xf>
    <xf numFmtId="2" fontId="7" fillId="0" borderId="31" xfId="0" applyNumberFormat="1" applyFont="1" applyBorder="1"/>
    <xf numFmtId="166" fontId="7" fillId="0" borderId="33" xfId="0" applyNumberFormat="1" applyFont="1" applyBorder="1"/>
    <xf numFmtId="167" fontId="6" fillId="0" borderId="0" xfId="0" applyNumberFormat="1" applyFont="1"/>
    <xf numFmtId="0" fontId="6" fillId="3" borderId="0" xfId="0" applyFont="1" applyFill="1"/>
    <xf numFmtId="0" fontId="7" fillId="0" borderId="0" xfId="0" applyFont="1" applyBorder="1" applyAlignment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36" xfId="0" applyFont="1" applyBorder="1"/>
    <xf numFmtId="0" fontId="7" fillId="0" borderId="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38" xfId="0" applyFont="1" applyBorder="1"/>
    <xf numFmtId="2" fontId="6" fillId="0" borderId="39" xfId="0" applyNumberFormat="1" applyFont="1" applyBorder="1"/>
    <xf numFmtId="2" fontId="6" fillId="0" borderId="5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172" fontId="6" fillId="0" borderId="39" xfId="0" applyNumberFormat="1" applyFont="1" applyBorder="1" applyAlignment="1">
      <alignment horizontal="center"/>
    </xf>
    <xf numFmtId="173" fontId="6" fillId="0" borderId="41" xfId="0" applyNumberFormat="1" applyFont="1" applyBorder="1" applyAlignment="1">
      <alignment horizontal="center"/>
    </xf>
    <xf numFmtId="173" fontId="6" fillId="0" borderId="0" xfId="0" applyNumberFormat="1" applyFont="1" applyBorder="1" applyAlignment="1">
      <alignment horizontal="center"/>
    </xf>
    <xf numFmtId="173" fontId="6" fillId="0" borderId="0" xfId="0" applyNumberFormat="1" applyFont="1"/>
    <xf numFmtId="0" fontId="11" fillId="0" borderId="3" xfId="0" applyFont="1" applyBorder="1"/>
    <xf numFmtId="173" fontId="6" fillId="0" borderId="7" xfId="0" applyNumberFormat="1" applyFont="1" applyBorder="1" applyAlignment="1">
      <alignment horizontal="center"/>
    </xf>
    <xf numFmtId="0" fontId="11" fillId="0" borderId="36" xfId="0" applyFont="1" applyBorder="1"/>
    <xf numFmtId="2" fontId="6" fillId="0" borderId="8" xfId="0" applyNumberFormat="1" applyFont="1" applyBorder="1"/>
    <xf numFmtId="2" fontId="6" fillId="0" borderId="8" xfId="0" applyNumberFormat="1" applyFont="1" applyBorder="1" applyAlignment="1">
      <alignment horizontal="center"/>
    </xf>
    <xf numFmtId="172" fontId="6" fillId="0" borderId="42" xfId="0" applyNumberFormat="1" applyFont="1" applyBorder="1" applyAlignment="1">
      <alignment horizontal="center"/>
    </xf>
    <xf numFmtId="173" fontId="6" fillId="0" borderId="37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6" fillId="0" borderId="13" xfId="0" applyFont="1" applyBorder="1"/>
    <xf numFmtId="0" fontId="6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73" fontId="7" fillId="0" borderId="33" xfId="0" applyNumberFormat="1" applyFont="1" applyBorder="1" applyAlignment="1">
      <alignment horizontal="center"/>
    </xf>
    <xf numFmtId="171" fontId="7" fillId="0" borderId="0" xfId="0" applyNumberFormat="1" applyFont="1" applyBorder="1" applyAlignment="1">
      <alignment horizontal="center"/>
    </xf>
    <xf numFmtId="171" fontId="7" fillId="0" borderId="0" xfId="0" applyNumberFormat="1" applyFont="1" applyBorder="1"/>
    <xf numFmtId="0" fontId="7" fillId="0" borderId="0" xfId="0" applyFont="1" applyBorder="1"/>
    <xf numFmtId="172" fontId="7" fillId="0" borderId="0" xfId="0" applyNumberFormat="1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7" xfId="0" applyFont="1" applyBorder="1"/>
    <xf numFmtId="0" fontId="13" fillId="0" borderId="4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165" fontId="13" fillId="0" borderId="20" xfId="1" applyFont="1" applyBorder="1"/>
    <xf numFmtId="3" fontId="13" fillId="0" borderId="20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74" fontId="13" fillId="0" borderId="46" xfId="2" applyNumberFormat="1" applyFont="1" applyBorder="1"/>
    <xf numFmtId="0" fontId="13" fillId="0" borderId="43" xfId="0" applyFont="1" applyBorder="1" applyAlignment="1">
      <alignment horizontal="left"/>
    </xf>
    <xf numFmtId="0" fontId="13" fillId="0" borderId="47" xfId="0" applyFont="1" applyBorder="1" applyAlignment="1">
      <alignment horizontal="center"/>
    </xf>
    <xf numFmtId="165" fontId="13" fillId="0" borderId="47" xfId="1" applyFont="1" applyBorder="1"/>
    <xf numFmtId="3" fontId="13" fillId="0" borderId="47" xfId="0" applyNumberFormat="1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3" fontId="13" fillId="0" borderId="4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3" fontId="13" fillId="0" borderId="0" xfId="0" applyNumberFormat="1" applyFont="1"/>
    <xf numFmtId="0" fontId="13" fillId="0" borderId="49" xfId="0" applyFont="1" applyBorder="1" applyAlignment="1">
      <alignment horizontal="left"/>
    </xf>
    <xf numFmtId="3" fontId="13" fillId="0" borderId="13" xfId="0" applyNumberFormat="1" applyFont="1" applyBorder="1" applyAlignment="1">
      <alignment horizontal="center"/>
    </xf>
    <xf numFmtId="3" fontId="13" fillId="0" borderId="50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171" fontId="12" fillId="0" borderId="5" xfId="0" applyNumberFormat="1" applyFont="1" applyBorder="1" applyAlignment="1">
      <alignment horizontal="center"/>
    </xf>
    <xf numFmtId="172" fontId="13" fillId="0" borderId="7" xfId="0" applyNumberFormat="1" applyFont="1" applyBorder="1" applyAlignment="1">
      <alignment horizontal="center"/>
    </xf>
    <xf numFmtId="165" fontId="13" fillId="0" borderId="0" xfId="1" applyFont="1"/>
    <xf numFmtId="4" fontId="13" fillId="0" borderId="50" xfId="0" applyNumberFormat="1" applyFont="1" applyBorder="1" applyAlignment="1">
      <alignment horizontal="center"/>
    </xf>
    <xf numFmtId="171" fontId="12" fillId="0" borderId="50" xfId="0" applyNumberFormat="1" applyFont="1" applyBorder="1" applyAlignment="1">
      <alignment horizontal="center"/>
    </xf>
    <xf numFmtId="172" fontId="13" fillId="0" borderId="9" xfId="0" applyNumberFormat="1" applyFont="1" applyBorder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4" fontId="13" fillId="0" borderId="11" xfId="0" applyNumberFormat="1" applyFont="1" applyBorder="1"/>
    <xf numFmtId="4" fontId="12" fillId="0" borderId="12" xfId="0" applyNumberFormat="1" applyFont="1" applyBorder="1" applyAlignment="1">
      <alignment horizontal="center"/>
    </xf>
    <xf numFmtId="175" fontId="12" fillId="0" borderId="12" xfId="0" applyNumberFormat="1" applyFont="1" applyBorder="1" applyAlignment="1">
      <alignment horizontal="center"/>
    </xf>
    <xf numFmtId="171" fontId="12" fillId="0" borderId="14" xfId="0" applyNumberFormat="1" applyFont="1" applyBorder="1" applyAlignment="1">
      <alignment horizontal="center"/>
    </xf>
    <xf numFmtId="165" fontId="13" fillId="0" borderId="0" xfId="0" applyNumberFormat="1" applyFont="1"/>
    <xf numFmtId="171" fontId="12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4" fontId="7" fillId="0" borderId="0" xfId="0" applyNumberFormat="1" applyFont="1" applyBorder="1"/>
    <xf numFmtId="171" fontId="6" fillId="0" borderId="0" xfId="0" applyNumberFormat="1" applyFont="1" applyBorder="1"/>
    <xf numFmtId="0" fontId="6" fillId="0" borderId="23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0" borderId="15" xfId="0" applyFont="1" applyBorder="1"/>
    <xf numFmtId="0" fontId="6" fillId="0" borderId="52" xfId="0" applyFont="1" applyBorder="1" applyAlignment="1">
      <alignment horizontal="center"/>
    </xf>
    <xf numFmtId="0" fontId="14" fillId="0" borderId="3" xfId="0" applyFont="1" applyBorder="1"/>
    <xf numFmtId="2" fontId="6" fillId="0" borderId="51" xfId="0" applyNumberFormat="1" applyFont="1" applyBorder="1" applyAlignment="1">
      <alignment horizontal="center"/>
    </xf>
    <xf numFmtId="3" fontId="13" fillId="0" borderId="51" xfId="0" applyNumberFormat="1" applyFont="1" applyBorder="1" applyAlignment="1">
      <alignment horizontal="center"/>
    </xf>
    <xf numFmtId="3" fontId="6" fillId="0" borderId="0" xfId="0" applyNumberFormat="1" applyFont="1"/>
    <xf numFmtId="177" fontId="6" fillId="0" borderId="0" xfId="0" applyNumberFormat="1" applyFont="1"/>
    <xf numFmtId="178" fontId="6" fillId="0" borderId="51" xfId="1" applyNumberFormat="1" applyFont="1" applyBorder="1" applyAlignment="1" applyProtection="1">
      <alignment horizontal="center"/>
    </xf>
    <xf numFmtId="17" fontId="6" fillId="0" borderId="0" xfId="0" applyNumberFormat="1" applyFont="1"/>
    <xf numFmtId="178" fontId="6" fillId="0" borderId="51" xfId="0" applyNumberFormat="1" applyFont="1" applyBorder="1" applyAlignment="1">
      <alignment horizontal="center"/>
    </xf>
    <xf numFmtId="0" fontId="14" fillId="0" borderId="36" xfId="0" applyFont="1" applyBorder="1"/>
    <xf numFmtId="2" fontId="6" fillId="0" borderId="53" xfId="0" applyNumberFormat="1" applyFont="1" applyBorder="1" applyAlignment="1">
      <alignment horizontal="center"/>
    </xf>
    <xf numFmtId="0" fontId="6" fillId="0" borderId="27" xfId="0" applyFont="1" applyBorder="1"/>
    <xf numFmtId="9" fontId="6" fillId="0" borderId="54" xfId="2" applyFont="1" applyBorder="1" applyAlignment="1" applyProtection="1">
      <alignment horizontal="center"/>
    </xf>
    <xf numFmtId="9" fontId="6" fillId="0" borderId="0" xfId="2" applyFont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/>
    <xf numFmtId="0" fontId="7" fillId="0" borderId="53" xfId="0" applyFont="1" applyBorder="1" applyAlignment="1">
      <alignment horizontal="center"/>
    </xf>
    <xf numFmtId="174" fontId="6" fillId="0" borderId="5" xfId="2" applyNumberFormat="1" applyFont="1" applyBorder="1" applyAlignment="1" applyProtection="1">
      <alignment horizontal="center"/>
    </xf>
    <xf numFmtId="4" fontId="6" fillId="0" borderId="7" xfId="0" applyNumberFormat="1" applyFont="1" applyBorder="1" applyAlignment="1">
      <alignment horizontal="center"/>
    </xf>
    <xf numFmtId="0" fontId="13" fillId="0" borderId="23" xfId="0" applyFont="1" applyBorder="1" applyAlignment="1">
      <alignment wrapText="1"/>
    </xf>
    <xf numFmtId="2" fontId="6" fillId="0" borderId="7" xfId="0" applyNumberFormat="1" applyFont="1" applyBorder="1" applyAlignment="1">
      <alignment horizontal="center"/>
    </xf>
    <xf numFmtId="0" fontId="14" fillId="0" borderId="5" xfId="0" applyFont="1" applyBorder="1"/>
    <xf numFmtId="4" fontId="6" fillId="0" borderId="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6" fillId="0" borderId="52" xfId="0" applyFont="1" applyBorder="1"/>
    <xf numFmtId="0" fontId="7" fillId="0" borderId="53" xfId="0" applyFont="1" applyBorder="1"/>
    <xf numFmtId="0" fontId="6" fillId="0" borderId="0" xfId="0" applyFont="1" applyAlignment="1">
      <alignment horizontal="left"/>
    </xf>
    <xf numFmtId="9" fontId="6" fillId="0" borderId="7" xfId="2" applyFont="1" applyBorder="1" applyAlignment="1" applyProtection="1">
      <alignment horizontal="center"/>
    </xf>
    <xf numFmtId="9" fontId="6" fillId="0" borderId="5" xfId="2" applyFont="1" applyBorder="1" applyAlignment="1" applyProtection="1">
      <alignment horizontal="center"/>
    </xf>
    <xf numFmtId="165" fontId="6" fillId="0" borderId="0" xfId="0" applyNumberFormat="1" applyFont="1"/>
    <xf numFmtId="4" fontId="11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5" fillId="0" borderId="2" xfId="0" applyFont="1" applyBorder="1"/>
    <xf numFmtId="2" fontId="6" fillId="0" borderId="0" xfId="0" applyNumberFormat="1" applyFont="1"/>
    <xf numFmtId="0" fontId="7" fillId="0" borderId="4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6" fillId="0" borderId="0" xfId="0" applyNumberFormat="1" applyFont="1" applyBorder="1"/>
    <xf numFmtId="0" fontId="14" fillId="0" borderId="38" xfId="0" applyFont="1" applyBorder="1"/>
    <xf numFmtId="3" fontId="6" fillId="0" borderId="0" xfId="0" applyNumberFormat="1" applyFont="1" applyBorder="1" applyAlignment="1">
      <alignment horizontal="center"/>
    </xf>
    <xf numFmtId="167" fontId="6" fillId="0" borderId="40" xfId="0" applyNumberFormat="1" applyFont="1" applyBorder="1" applyAlignment="1">
      <alignment horizontal="center"/>
    </xf>
    <xf numFmtId="169" fontId="6" fillId="0" borderId="0" xfId="1" applyNumberFormat="1" applyFont="1" applyBorder="1" applyAlignment="1" applyProtection="1">
      <alignment horizontal="center"/>
    </xf>
    <xf numFmtId="2" fontId="6" fillId="0" borderId="55" xfId="0" applyNumberFormat="1" applyFont="1" applyBorder="1" applyAlignment="1">
      <alignment horizontal="center"/>
    </xf>
    <xf numFmtId="4" fontId="6" fillId="0" borderId="55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3" fontId="6" fillId="0" borderId="56" xfId="0" applyNumberFormat="1" applyFont="1" applyBorder="1" applyAlignment="1">
      <alignment horizontal="center"/>
    </xf>
    <xf numFmtId="0" fontId="7" fillId="0" borderId="57" xfId="0" applyFont="1" applyBorder="1"/>
    <xf numFmtId="0" fontId="7" fillId="0" borderId="57" xfId="0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58" xfId="0" applyFont="1" applyBorder="1"/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61" xfId="0" applyFont="1" applyBorder="1"/>
    <xf numFmtId="4" fontId="6" fillId="0" borderId="40" xfId="0" applyNumberFormat="1" applyFont="1" applyBorder="1" applyAlignment="1">
      <alignment horizontal="center"/>
    </xf>
    <xf numFmtId="0" fontId="6" fillId="0" borderId="40" xfId="0" applyFont="1" applyBorder="1"/>
    <xf numFmtId="0" fontId="6" fillId="0" borderId="0" xfId="0" applyFont="1" applyBorder="1"/>
    <xf numFmtId="171" fontId="6" fillId="3" borderId="0" xfId="0" applyNumberFormat="1" applyFont="1" applyFill="1"/>
    <xf numFmtId="0" fontId="14" fillId="0" borderId="23" xfId="0" applyFont="1" applyBorder="1"/>
    <xf numFmtId="0" fontId="6" fillId="0" borderId="5" xfId="0" applyFont="1" applyBorder="1"/>
    <xf numFmtId="169" fontId="6" fillId="0" borderId="5" xfId="0" applyNumberFormat="1" applyFont="1" applyBorder="1" applyAlignment="1">
      <alignment horizontal="center"/>
    </xf>
    <xf numFmtId="4" fontId="7" fillId="0" borderId="56" xfId="0" applyNumberFormat="1" applyFont="1" applyBorder="1" applyAlignment="1">
      <alignment horizontal="center"/>
    </xf>
    <xf numFmtId="0" fontId="6" fillId="0" borderId="47" xfId="0" applyFont="1" applyBorder="1"/>
    <xf numFmtId="0" fontId="17" fillId="4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180" fontId="10" fillId="0" borderId="0" xfId="1" applyNumberFormat="1" applyFont="1" applyBorder="1" applyAlignment="1" applyProtection="1">
      <alignment vertical="center"/>
    </xf>
    <xf numFmtId="167" fontId="10" fillId="3" borderId="0" xfId="0" applyNumberFormat="1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4" fontId="10" fillId="0" borderId="0" xfId="0" applyNumberFormat="1" applyFont="1" applyBorder="1"/>
    <xf numFmtId="4" fontId="10" fillId="3" borderId="0" xfId="0" applyNumberFormat="1" applyFont="1" applyFill="1" applyAlignment="1">
      <alignment vertical="center"/>
    </xf>
    <xf numFmtId="181" fontId="10" fillId="3" borderId="0" xfId="0" applyNumberFormat="1" applyFont="1" applyFill="1" applyAlignment="1">
      <alignment vertical="center"/>
    </xf>
    <xf numFmtId="180" fontId="10" fillId="3" borderId="0" xfId="0" applyNumberFormat="1" applyFont="1" applyFill="1" applyAlignment="1">
      <alignment vertical="center"/>
    </xf>
    <xf numFmtId="182" fontId="10" fillId="3" borderId="0" xfId="0" applyNumberFormat="1" applyFont="1" applyFill="1" applyAlignment="1">
      <alignment vertical="center"/>
    </xf>
    <xf numFmtId="3" fontId="10" fillId="0" borderId="0" xfId="0" applyNumberFormat="1" applyFont="1" applyBorder="1"/>
    <xf numFmtId="0" fontId="16" fillId="5" borderId="0" xfId="0" applyFont="1" applyFill="1" applyAlignment="1">
      <alignment vertical="center"/>
    </xf>
    <xf numFmtId="166" fontId="20" fillId="6" borderId="0" xfId="0" applyNumberFormat="1" applyFont="1" applyFill="1" applyAlignment="1">
      <alignment vertical="center"/>
    </xf>
    <xf numFmtId="171" fontId="10" fillId="3" borderId="0" xfId="0" applyNumberFormat="1" applyFont="1" applyFill="1" applyAlignment="1">
      <alignment vertical="center"/>
    </xf>
    <xf numFmtId="175" fontId="10" fillId="0" borderId="0" xfId="0" applyNumberFormat="1" applyFont="1" applyAlignment="1">
      <alignment vertical="center"/>
    </xf>
    <xf numFmtId="0" fontId="16" fillId="4" borderId="0" xfId="0" applyFont="1" applyFill="1" applyAlignment="1">
      <alignment vertical="center"/>
    </xf>
    <xf numFmtId="171" fontId="20" fillId="4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10" fontId="20" fillId="0" borderId="0" xfId="2" applyNumberFormat="1" applyFont="1" applyBorder="1" applyAlignment="1" applyProtection="1">
      <alignment vertical="center"/>
    </xf>
    <xf numFmtId="0" fontId="10" fillId="0" borderId="0" xfId="0" applyFont="1" applyAlignment="1">
      <alignment vertical="center"/>
    </xf>
    <xf numFmtId="171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167" fontId="20" fillId="0" borderId="0" xfId="0" applyNumberFormat="1" applyFont="1" applyAlignment="1">
      <alignment vertical="center"/>
    </xf>
    <xf numFmtId="167" fontId="20" fillId="3" borderId="0" xfId="0" applyNumberFormat="1" applyFont="1" applyFill="1" applyAlignment="1">
      <alignment vertical="center"/>
    </xf>
    <xf numFmtId="0" fontId="16" fillId="7" borderId="0" xfId="0" applyFont="1" applyFill="1" applyAlignment="1">
      <alignment vertical="center"/>
    </xf>
    <xf numFmtId="167" fontId="20" fillId="7" borderId="0" xfId="2" applyNumberFormat="1" applyFont="1" applyFill="1" applyBorder="1" applyAlignment="1" applyProtection="1">
      <alignment vertical="center"/>
    </xf>
    <xf numFmtId="167" fontId="20" fillId="0" borderId="0" xfId="2" applyNumberFormat="1" applyFont="1" applyBorder="1" applyAlignment="1" applyProtection="1">
      <alignment vertical="center"/>
    </xf>
    <xf numFmtId="0" fontId="22" fillId="3" borderId="0" xfId="0" applyFont="1" applyFill="1" applyBorder="1" applyAlignment="1">
      <alignment vertical="center"/>
    </xf>
    <xf numFmtId="0" fontId="20" fillId="3" borderId="20" xfId="0" applyFont="1" applyFill="1" applyBorder="1" applyAlignment="1">
      <alignment vertical="center"/>
    </xf>
    <xf numFmtId="178" fontId="20" fillId="0" borderId="20" xfId="1" applyNumberFormat="1" applyFont="1" applyBorder="1" applyAlignment="1" applyProtection="1">
      <alignment horizontal="center" vertical="center"/>
    </xf>
    <xf numFmtId="167" fontId="20" fillId="0" borderId="20" xfId="0" applyNumberFormat="1" applyFont="1" applyBorder="1" applyAlignment="1">
      <alignment horizontal="center" vertical="center"/>
    </xf>
    <xf numFmtId="10" fontId="21" fillId="0" borderId="20" xfId="2" applyNumberFormat="1" applyFont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178" fontId="20" fillId="0" borderId="0" xfId="1" applyNumberFormat="1" applyFont="1" applyBorder="1" applyAlignment="1" applyProtection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0" fontId="21" fillId="0" borderId="0" xfId="2" applyNumberFormat="1" applyFont="1" applyBorder="1" applyAlignment="1" applyProtection="1">
      <alignment horizontal="center" vertical="center"/>
    </xf>
    <xf numFmtId="167" fontId="20" fillId="7" borderId="14" xfId="0" applyNumberFormat="1" applyFont="1" applyFill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0" fontId="17" fillId="0" borderId="0" xfId="2" applyNumberFormat="1" applyFont="1" applyBorder="1" applyAlignment="1" applyProtection="1">
      <alignment horizontal="center" vertical="center"/>
    </xf>
    <xf numFmtId="0" fontId="20" fillId="3" borderId="2" xfId="0" applyFont="1" applyFill="1" applyBorder="1" applyAlignment="1">
      <alignment vertical="center"/>
    </xf>
    <xf numFmtId="167" fontId="20" fillId="0" borderId="2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86" fontId="20" fillId="0" borderId="1" xfId="0" applyNumberFormat="1" applyFont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" vertical="center"/>
    </xf>
    <xf numFmtId="10" fontId="16" fillId="0" borderId="0" xfId="2" applyNumberFormat="1" applyFont="1" applyBorder="1" applyAlignment="1" applyProtection="1">
      <alignment horizontal="center" vertical="center"/>
    </xf>
    <xf numFmtId="186" fontId="20" fillId="0" borderId="22" xfId="0" applyNumberFormat="1" applyFont="1" applyBorder="1" applyAlignment="1">
      <alignment horizontal="center" vertical="center"/>
    </xf>
    <xf numFmtId="166" fontId="16" fillId="0" borderId="0" xfId="2" applyNumberFormat="1" applyFont="1" applyBorder="1" applyAlignment="1" applyProtection="1">
      <alignment horizontal="center" vertical="center"/>
    </xf>
    <xf numFmtId="175" fontId="17" fillId="0" borderId="0" xfId="2" applyNumberFormat="1" applyFont="1" applyBorder="1" applyAlignment="1" applyProtection="1">
      <alignment horizontal="center" vertical="center"/>
    </xf>
    <xf numFmtId="0" fontId="0" fillId="0" borderId="0" xfId="0" applyFont="1" applyBorder="1"/>
    <xf numFmtId="2" fontId="20" fillId="3" borderId="0" xfId="0" applyNumberFormat="1" applyFont="1" applyFill="1" applyBorder="1" applyAlignment="1">
      <alignment horizontal="right" vertical="center"/>
    </xf>
    <xf numFmtId="0" fontId="21" fillId="0" borderId="0" xfId="0" applyFont="1"/>
    <xf numFmtId="188" fontId="17" fillId="0" borderId="0" xfId="1" applyNumberFormat="1" applyFont="1" applyBorder="1" applyAlignment="1" applyProtection="1">
      <alignment horizontal="center" vertical="center"/>
    </xf>
    <xf numFmtId="0" fontId="21" fillId="3" borderId="0" xfId="0" applyFont="1" applyFill="1" applyAlignment="1">
      <alignment vertical="center"/>
    </xf>
    <xf numFmtId="2" fontId="20" fillId="7" borderId="14" xfId="2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Border="1"/>
    <xf numFmtId="191" fontId="4" fillId="0" borderId="12" xfId="0" applyNumberFormat="1" applyFont="1" applyBorder="1" applyAlignment="1">
      <alignment horizontal="center"/>
    </xf>
    <xf numFmtId="0" fontId="6" fillId="0" borderId="63" xfId="0" applyFont="1" applyBorder="1"/>
    <xf numFmtId="3" fontId="6" fillId="0" borderId="64" xfId="0" applyNumberFormat="1" applyFont="1" applyBorder="1" applyAlignment="1">
      <alignment horizontal="center"/>
    </xf>
    <xf numFmtId="0" fontId="20" fillId="7" borderId="2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4" fontId="9" fillId="0" borderId="24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left" vertical="center"/>
    </xf>
    <xf numFmtId="0" fontId="20" fillId="7" borderId="2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21" fillId="3" borderId="20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9" fontId="8" fillId="0" borderId="0" xfId="1" applyNumberFormat="1" applyFont="1" applyBorder="1" applyAlignment="1" applyProtection="1">
      <alignment horizontal="center"/>
    </xf>
    <xf numFmtId="171" fontId="6" fillId="0" borderId="0" xfId="0" applyNumberFormat="1" applyFont="1"/>
    <xf numFmtId="165" fontId="0" fillId="0" borderId="0" xfId="1" applyFont="1"/>
    <xf numFmtId="4" fontId="6" fillId="0" borderId="0" xfId="0" applyNumberFormat="1" applyFont="1"/>
    <xf numFmtId="176" fontId="6" fillId="0" borderId="0" xfId="0" applyNumberFormat="1" applyFont="1"/>
    <xf numFmtId="165" fontId="5" fillId="0" borderId="0" xfId="1" applyFont="1"/>
    <xf numFmtId="174" fontId="5" fillId="3" borderId="0" xfId="2" applyNumberFormat="1" applyFont="1" applyFill="1"/>
    <xf numFmtId="165" fontId="5" fillId="3" borderId="0" xfId="1" applyFont="1" applyFill="1"/>
    <xf numFmtId="0" fontId="13" fillId="3" borderId="0" xfId="0" applyFont="1" applyFill="1"/>
    <xf numFmtId="174" fontId="24" fillId="3" borderId="0" xfId="0" applyNumberFormat="1" applyFont="1" applyFill="1"/>
    <xf numFmtId="0" fontId="7" fillId="0" borderId="0" xfId="0" applyFont="1"/>
    <xf numFmtId="0" fontId="6" fillId="0" borderId="0" xfId="0" applyFont="1" applyBorder="1" applyAlignment="1">
      <alignment horizontal="right"/>
    </xf>
    <xf numFmtId="165" fontId="7" fillId="0" borderId="0" xfId="1" applyFont="1" applyBorder="1" applyAlignment="1" applyProtection="1"/>
    <xf numFmtId="165" fontId="13" fillId="0" borderId="0" xfId="3" applyNumberFormat="1" applyFont="1" applyBorder="1" applyAlignment="1" applyProtection="1"/>
    <xf numFmtId="0" fontId="41" fillId="3" borderId="0" xfId="0" applyFont="1" applyFill="1" applyBorder="1" applyAlignment="1">
      <alignment horizontal="center" vertical="center"/>
    </xf>
    <xf numFmtId="179" fontId="10" fillId="3" borderId="0" xfId="1" applyNumberFormat="1" applyFont="1" applyFill="1" applyBorder="1" applyAlignment="1" applyProtection="1">
      <alignment vertical="center"/>
    </xf>
    <xf numFmtId="165" fontId="10" fillId="0" borderId="0" xfId="0" applyNumberFormat="1" applyFont="1"/>
    <xf numFmtId="4" fontId="0" fillId="0" borderId="0" xfId="0" applyNumberFormat="1" applyFont="1" applyBorder="1"/>
    <xf numFmtId="165" fontId="10" fillId="3" borderId="0" xfId="1" applyFont="1" applyFill="1" applyBorder="1" applyAlignment="1" applyProtection="1">
      <alignment vertical="center"/>
    </xf>
    <xf numFmtId="0" fontId="10" fillId="0" borderId="0" xfId="0" applyFont="1"/>
    <xf numFmtId="4" fontId="0" fillId="0" borderId="0" xfId="1" applyNumberFormat="1" applyFont="1" applyBorder="1" applyAlignment="1" applyProtection="1"/>
    <xf numFmtId="165" fontId="0" fillId="0" borderId="0" xfId="1" applyFont="1" applyBorder="1" applyAlignment="1" applyProtection="1"/>
    <xf numFmtId="171" fontId="10" fillId="0" borderId="0" xfId="0" applyNumberFormat="1" applyFont="1"/>
    <xf numFmtId="165" fontId="10" fillId="0" borderId="0" xfId="1" applyFont="1" applyBorder="1" applyAlignment="1" applyProtection="1"/>
    <xf numFmtId="179" fontId="10" fillId="3" borderId="0" xfId="0" applyNumberFormat="1" applyFont="1" applyFill="1" applyAlignment="1">
      <alignment vertical="center"/>
    </xf>
    <xf numFmtId="167" fontId="10" fillId="0" borderId="0" xfId="0" applyNumberFormat="1" applyFont="1" applyAlignment="1">
      <alignment vertical="center"/>
    </xf>
    <xf numFmtId="174" fontId="17" fillId="0" borderId="0" xfId="2" applyNumberFormat="1" applyFont="1" applyBorder="1" applyAlignment="1" applyProtection="1">
      <alignment vertical="center"/>
    </xf>
    <xf numFmtId="183" fontId="10" fillId="3" borderId="0" xfId="1" applyNumberFormat="1" applyFont="1" applyFill="1" applyBorder="1" applyAlignment="1" applyProtection="1">
      <alignment vertical="center"/>
    </xf>
    <xf numFmtId="10" fontId="17" fillId="0" borderId="0" xfId="2" applyNumberFormat="1" applyFont="1" applyBorder="1" applyAlignment="1" applyProtection="1">
      <alignment vertical="center"/>
    </xf>
    <xf numFmtId="167" fontId="10" fillId="0" borderId="0" xfId="2" applyNumberFormat="1" applyFont="1" applyBorder="1" applyAlignment="1" applyProtection="1"/>
    <xf numFmtId="10" fontId="10" fillId="0" borderId="0" xfId="2" applyNumberFormat="1" applyFont="1" applyBorder="1" applyAlignment="1" applyProtection="1"/>
    <xf numFmtId="174" fontId="17" fillId="0" borderId="0" xfId="0" applyNumberFormat="1" applyFont="1" applyAlignment="1">
      <alignment vertical="center"/>
    </xf>
    <xf numFmtId="171" fontId="0" fillId="0" borderId="0" xfId="0" applyNumberFormat="1" applyFont="1"/>
    <xf numFmtId="183" fontId="10" fillId="0" borderId="0" xfId="0" applyNumberFormat="1" applyFont="1"/>
    <xf numFmtId="183" fontId="10" fillId="0" borderId="0" xfId="1" applyNumberFormat="1" applyFont="1" applyBorder="1" applyAlignment="1" applyProtection="1">
      <alignment vertical="center"/>
    </xf>
    <xf numFmtId="10" fontId="10" fillId="0" borderId="0" xfId="2" applyNumberFormat="1" applyFont="1" applyBorder="1" applyAlignment="1" applyProtection="1">
      <alignment vertical="center"/>
    </xf>
    <xf numFmtId="165" fontId="10" fillId="3" borderId="0" xfId="0" applyNumberFormat="1" applyFont="1" applyFill="1" applyAlignment="1">
      <alignment vertical="center"/>
    </xf>
    <xf numFmtId="184" fontId="10" fillId="0" borderId="0" xfId="0" applyNumberFormat="1" applyFont="1"/>
    <xf numFmtId="185" fontId="10" fillId="3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4" fontId="21" fillId="0" borderId="0" xfId="2" applyNumberFormat="1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10" fontId="6" fillId="0" borderId="0" xfId="2" applyNumberFormat="1" applyFont="1" applyBorder="1" applyAlignment="1" applyProtection="1"/>
    <xf numFmtId="187" fontId="21" fillId="3" borderId="0" xfId="0" applyNumberFormat="1" applyFont="1" applyFill="1" applyAlignment="1">
      <alignment vertical="center" wrapText="1"/>
    </xf>
    <xf numFmtId="2" fontId="20" fillId="0" borderId="0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0" xfId="0" applyFont="1" applyFill="1"/>
    <xf numFmtId="0" fontId="42" fillId="3" borderId="0" xfId="0" applyFont="1" applyFill="1"/>
    <xf numFmtId="2" fontId="6" fillId="3" borderId="0" xfId="0" applyNumberFormat="1" applyFont="1" applyFill="1"/>
  </cellXfs>
  <cellStyles count="203">
    <cellStyle name="Accent" xfId="8"/>
    <cellStyle name="Accent 1" xfId="9"/>
    <cellStyle name="Accent 2" xfId="10"/>
    <cellStyle name="Accent 3" xfId="11"/>
    <cellStyle name="Bad" xfId="12"/>
    <cellStyle name="Error" xfId="13"/>
    <cellStyle name="Footnote" xfId="14"/>
    <cellStyle name="Good" xfId="15"/>
    <cellStyle name="Heading" xfId="16"/>
    <cellStyle name="Heading 1" xfId="17"/>
    <cellStyle name="Heading 2" xfId="18"/>
    <cellStyle name="Neutral" xfId="19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4 2" xfId="30"/>
    <cellStyle name="Normal 14 3" xfId="31"/>
    <cellStyle name="Normal 14 4" xfId="32"/>
    <cellStyle name="Normal 15" xfId="33"/>
    <cellStyle name="Normal 15 2" xfId="34"/>
    <cellStyle name="Normal 15 3" xfId="35"/>
    <cellStyle name="Normal 15 4" xfId="36"/>
    <cellStyle name="Normal 16" xfId="37"/>
    <cellStyle name="Normal 16 2" xfId="38"/>
    <cellStyle name="Normal 16 3" xfId="39"/>
    <cellStyle name="Normal 16 4" xfId="40"/>
    <cellStyle name="Normal 17" xfId="41"/>
    <cellStyle name="Normal 18" xfId="197"/>
    <cellStyle name="Normal 19" xfId="199"/>
    <cellStyle name="Normal 2" xfId="4"/>
    <cellStyle name="Normal 2 2" xfId="42"/>
    <cellStyle name="Normal 2 2 2" xfId="43"/>
    <cellStyle name="Normal 2 2 3" xfId="44"/>
    <cellStyle name="Normal 2 2 4" xfId="45"/>
    <cellStyle name="Normal 2 2 5" xfId="46"/>
    <cellStyle name="Normal 2 2 6" xfId="47"/>
    <cellStyle name="Normal 2 3" xfId="48"/>
    <cellStyle name="Normal 2 4" xfId="49"/>
    <cellStyle name="Normal 2 5" xfId="50"/>
    <cellStyle name="Normal 2 6" xfId="51"/>
    <cellStyle name="Normal 2 7" xfId="52"/>
    <cellStyle name="Normal 2 8" xfId="53"/>
    <cellStyle name="Normal 20" xfId="200"/>
    <cellStyle name="Normal 21" xfId="201"/>
    <cellStyle name="Normal 3" xfId="6"/>
    <cellStyle name="Normal 4" xfId="54"/>
    <cellStyle name="Normal 5" xfId="55"/>
    <cellStyle name="Normal 5 2" xfId="56"/>
    <cellStyle name="Normal 6" xfId="57"/>
    <cellStyle name="Normal 7" xfId="58"/>
    <cellStyle name="Normal 7 2" xfId="59"/>
    <cellStyle name="Normal 8" xfId="60"/>
    <cellStyle name="Normal 8 2" xfId="61"/>
    <cellStyle name="Normal 9" xfId="62"/>
    <cellStyle name="Normal 9 2" xfId="63"/>
    <cellStyle name="Note" xfId="20"/>
    <cellStyle name="Porcentagem" xfId="2" builtinId="5"/>
    <cellStyle name="Porcentagem 10" xfId="64"/>
    <cellStyle name="Porcentagem 11" xfId="65"/>
    <cellStyle name="Porcentagem 12" xfId="66"/>
    <cellStyle name="Porcentagem 13" xfId="67"/>
    <cellStyle name="Porcentagem 14" xfId="68"/>
    <cellStyle name="Porcentagem 15" xfId="69"/>
    <cellStyle name="Porcentagem 16" xfId="70"/>
    <cellStyle name="Porcentagem 17" xfId="71"/>
    <cellStyle name="Porcentagem 18" xfId="72"/>
    <cellStyle name="Porcentagem 19" xfId="73"/>
    <cellStyle name="Porcentagem 2" xfId="7"/>
    <cellStyle name="Porcentagem 20" xfId="74"/>
    <cellStyle name="Porcentagem 21" xfId="75"/>
    <cellStyle name="Porcentagem 22" xfId="76"/>
    <cellStyle name="Porcentagem 23" xfId="77"/>
    <cellStyle name="Porcentagem 24" xfId="78"/>
    <cellStyle name="Porcentagem 25" xfId="79"/>
    <cellStyle name="Porcentagem 26" xfId="80"/>
    <cellStyle name="Porcentagem 27" xfId="81"/>
    <cellStyle name="Porcentagem 28" xfId="82"/>
    <cellStyle name="Porcentagem 29" xfId="83"/>
    <cellStyle name="Porcentagem 3" xfId="84"/>
    <cellStyle name="Porcentagem 30" xfId="85"/>
    <cellStyle name="Porcentagem 31" xfId="86"/>
    <cellStyle name="Porcentagem 32" xfId="87"/>
    <cellStyle name="Porcentagem 33" xfId="88"/>
    <cellStyle name="Porcentagem 34" xfId="89"/>
    <cellStyle name="Porcentagem 35" xfId="90"/>
    <cellStyle name="Porcentagem 36" xfId="91"/>
    <cellStyle name="Porcentagem 37" xfId="92"/>
    <cellStyle name="Porcentagem 38" xfId="93"/>
    <cellStyle name="Porcentagem 39" xfId="94"/>
    <cellStyle name="Porcentagem 4" xfId="95"/>
    <cellStyle name="Porcentagem 40" xfId="96"/>
    <cellStyle name="Porcentagem 41" xfId="97"/>
    <cellStyle name="Porcentagem 42" xfId="98"/>
    <cellStyle name="Porcentagem 43" xfId="99"/>
    <cellStyle name="Porcentagem 44" xfId="100"/>
    <cellStyle name="Porcentagem 45" xfId="101"/>
    <cellStyle name="Porcentagem 46" xfId="102"/>
    <cellStyle name="Porcentagem 47" xfId="103"/>
    <cellStyle name="Porcentagem 48" xfId="104"/>
    <cellStyle name="Porcentagem 49" xfId="105"/>
    <cellStyle name="Porcentagem 5" xfId="106"/>
    <cellStyle name="Porcentagem 50" xfId="107"/>
    <cellStyle name="Porcentagem 51" xfId="108"/>
    <cellStyle name="Porcentagem 52" xfId="109"/>
    <cellStyle name="Porcentagem 53" xfId="110"/>
    <cellStyle name="Porcentagem 54" xfId="111"/>
    <cellStyle name="Porcentagem 55" xfId="112"/>
    <cellStyle name="Porcentagem 56" xfId="113"/>
    <cellStyle name="Porcentagem 57" xfId="114"/>
    <cellStyle name="Porcentagem 58" xfId="115"/>
    <cellStyle name="Porcentagem 59" xfId="116"/>
    <cellStyle name="Porcentagem 6" xfId="117"/>
    <cellStyle name="Porcentagem 60" xfId="118"/>
    <cellStyle name="Porcentagem 61" xfId="119"/>
    <cellStyle name="Porcentagem 62" xfId="120"/>
    <cellStyle name="Porcentagem 63" xfId="121"/>
    <cellStyle name="Porcentagem 64" xfId="122"/>
    <cellStyle name="Porcentagem 65" xfId="123"/>
    <cellStyle name="Porcentagem 66" xfId="124"/>
    <cellStyle name="Porcentagem 67" xfId="202"/>
    <cellStyle name="Porcentagem 7" xfId="125"/>
    <cellStyle name="Porcentagem 8" xfId="126"/>
    <cellStyle name="Porcentagem 9" xfId="127"/>
    <cellStyle name="Separador de milhares" xfId="1" builtinId="3"/>
    <cellStyle name="Separador de milhares 10" xfId="128"/>
    <cellStyle name="Separador de milhares 11" xfId="129"/>
    <cellStyle name="Separador de milhares 12" xfId="130"/>
    <cellStyle name="Separador de milhares 13" xfId="131"/>
    <cellStyle name="Separador de milhares 14" xfId="132"/>
    <cellStyle name="Separador de milhares 15" xfId="133"/>
    <cellStyle name="Separador de milhares 16" xfId="134"/>
    <cellStyle name="Separador de milhares 17" xfId="135"/>
    <cellStyle name="Separador de milhares 18" xfId="136"/>
    <cellStyle name="Separador de milhares 19" xfId="137"/>
    <cellStyle name="Separador de milhares 2" xfId="5"/>
    <cellStyle name="Separador de milhares 20" xfId="138"/>
    <cellStyle name="Separador de milhares 21" xfId="139"/>
    <cellStyle name="Separador de milhares 22" xfId="140"/>
    <cellStyle name="Separador de milhares 23" xfId="141"/>
    <cellStyle name="Separador de milhares 24" xfId="142"/>
    <cellStyle name="Separador de milhares 25" xfId="143"/>
    <cellStyle name="Separador de milhares 26" xfId="144"/>
    <cellStyle name="Separador de milhares 27" xfId="145"/>
    <cellStyle name="Separador de milhares 28" xfId="146"/>
    <cellStyle name="Separador de milhares 29" xfId="147"/>
    <cellStyle name="Separador de milhares 3" xfId="24"/>
    <cellStyle name="Separador de milhares 30" xfId="148"/>
    <cellStyle name="Separador de milhares 31" xfId="149"/>
    <cellStyle name="Separador de milhares 32" xfId="150"/>
    <cellStyle name="Separador de milhares 33" xfId="151"/>
    <cellStyle name="Separador de milhares 34" xfId="152"/>
    <cellStyle name="Separador de milhares 35" xfId="153"/>
    <cellStyle name="Separador de milhares 36" xfId="154"/>
    <cellStyle name="Separador de milhares 37" xfId="155"/>
    <cellStyle name="Separador de milhares 38" xfId="156"/>
    <cellStyle name="Separador de milhares 39" xfId="157"/>
    <cellStyle name="Separador de milhares 4" xfId="158"/>
    <cellStyle name="Separador de milhares 40" xfId="159"/>
    <cellStyle name="Separador de milhares 41" xfId="160"/>
    <cellStyle name="Separador de milhares 42" xfId="161"/>
    <cellStyle name="Separador de milhares 43" xfId="162"/>
    <cellStyle name="Separador de milhares 44" xfId="163"/>
    <cellStyle name="Separador de milhares 45" xfId="164"/>
    <cellStyle name="Separador de milhares 46" xfId="165"/>
    <cellStyle name="Separador de milhares 47" xfId="166"/>
    <cellStyle name="Separador de milhares 48" xfId="167"/>
    <cellStyle name="Separador de milhares 49" xfId="168"/>
    <cellStyle name="Separador de milhares 5" xfId="169"/>
    <cellStyle name="Separador de milhares 50" xfId="170"/>
    <cellStyle name="Separador de milhares 51" xfId="171"/>
    <cellStyle name="Separador de milhares 52" xfId="172"/>
    <cellStyle name="Separador de milhares 53" xfId="173"/>
    <cellStyle name="Separador de milhares 54" xfId="174"/>
    <cellStyle name="Separador de milhares 55" xfId="175"/>
    <cellStyle name="Separador de milhares 56" xfId="176"/>
    <cellStyle name="Separador de milhares 57" xfId="177"/>
    <cellStyle name="Separador de milhares 58" xfId="178"/>
    <cellStyle name="Separador de milhares 59" xfId="179"/>
    <cellStyle name="Separador de milhares 6" xfId="180"/>
    <cellStyle name="Separador de milhares 60" xfId="181"/>
    <cellStyle name="Separador de milhares 61" xfId="182"/>
    <cellStyle name="Separador de milhares 62" xfId="183"/>
    <cellStyle name="Separador de milhares 63" xfId="184"/>
    <cellStyle name="Separador de milhares 64" xfId="185"/>
    <cellStyle name="Separador de milhares 65" xfId="186"/>
    <cellStyle name="Separador de milhares 66" xfId="187"/>
    <cellStyle name="Separador de milhares 67" xfId="188"/>
    <cellStyle name="Separador de milhares 68" xfId="189"/>
    <cellStyle name="Separador de milhares 69" xfId="190"/>
    <cellStyle name="Separador de milhares 7" xfId="191"/>
    <cellStyle name="Separador de milhares 70" xfId="192"/>
    <cellStyle name="Separador de milhares 71" xfId="193"/>
    <cellStyle name="Separador de milhares 72" xfId="198"/>
    <cellStyle name="Separador de milhares 8" xfId="194"/>
    <cellStyle name="Separador de milhares 9" xfId="195"/>
    <cellStyle name="Status" xfId="21"/>
    <cellStyle name="TableStyleLight1" xfId="3"/>
    <cellStyle name="TableStyleLight1 2" xfId="196"/>
    <cellStyle name="Text" xfId="22"/>
    <cellStyle name="Warning" xfId="2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FBFBF"/>
      <rgbColor rgb="FF7F7F7F"/>
      <rgbColor rgb="FF93A9CE"/>
      <rgbColor rgb="FFAB4744"/>
      <rgbColor rgb="FFF2F2F2"/>
      <rgbColor rgb="FFF2DCDB"/>
      <rgbColor rgb="FF660066"/>
      <rgbColor rgb="FFDC853E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D09493"/>
      <rgbColor rgb="FF8064A2"/>
      <rgbColor rgb="FFFCD5B5"/>
      <rgbColor rgb="FF4672A8"/>
      <rgbColor rgb="FF33CCCC"/>
      <rgbColor rgb="FF9BBB59"/>
      <rgbColor rgb="FFFFC000"/>
      <rgbColor rgb="FFFF9900"/>
      <rgbColor rgb="FFFF6600"/>
      <rgbColor rgb="FF725990"/>
      <rgbColor rgb="FFA6A6A6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G195"/>
  <sheetViews>
    <sheetView showGridLines="0" tabSelected="1" view="pageBreakPreview" topLeftCell="C175" zoomScale="80" zoomScaleNormal="100" zoomScaleSheetLayoutView="80" zoomScalePageLayoutView="80" workbookViewId="0">
      <selection activeCell="K6" sqref="K6"/>
    </sheetView>
  </sheetViews>
  <sheetFormatPr defaultRowHeight="12.75"/>
  <cols>
    <col min="1" max="2" width="9.140625" style="36"/>
    <col min="3" max="3" width="63.28515625" style="36"/>
    <col min="4" max="4" width="21.5703125" style="36"/>
    <col min="5" max="5" width="28.42578125" style="36"/>
    <col min="6" max="6" width="30.140625" style="36"/>
    <col min="7" max="7" width="24.42578125" style="36"/>
    <col min="8" max="8" width="28" style="36"/>
    <col min="9" max="9" width="11" style="36"/>
    <col min="10" max="10" width="9.42578125" style="36"/>
    <col min="11" max="11" width="11.7109375" style="36"/>
    <col min="12" max="12" width="6.7109375" style="36"/>
    <col min="13" max="13" width="10.140625" style="36"/>
    <col min="14" max="14" width="8.7109375" style="36"/>
    <col min="15" max="15" width="11.28515625" style="36"/>
    <col min="16" max="16" width="17.140625" style="36"/>
    <col min="17" max="1025" width="8.7109375" style="36"/>
    <col min="1026" max="16384" width="9.140625" style="36"/>
  </cols>
  <sheetData>
    <row r="1" spans="3:33" ht="15">
      <c r="C1" s="1"/>
      <c r="D1" s="2"/>
      <c r="E1" s="313"/>
      <c r="F1" s="313"/>
      <c r="G1" s="3"/>
      <c r="H1" s="3"/>
      <c r="I1" s="3"/>
      <c r="J1" s="314"/>
      <c r="K1" s="315"/>
      <c r="L1" s="315"/>
      <c r="M1" s="4"/>
      <c r="N1" s="3"/>
      <c r="O1" s="3"/>
      <c r="P1" s="2"/>
      <c r="Q1" s="4"/>
      <c r="R1" s="3"/>
      <c r="S1" s="3"/>
      <c r="T1" s="2"/>
      <c r="U1" s="3"/>
      <c r="V1" s="4"/>
      <c r="W1" s="3"/>
      <c r="X1" s="3"/>
      <c r="Y1" s="4"/>
      <c r="Z1" s="3"/>
      <c r="AA1" s="4"/>
      <c r="AB1" s="4"/>
      <c r="AC1" s="3"/>
      <c r="AD1" s="316"/>
      <c r="AE1" s="316"/>
      <c r="AF1" s="316"/>
      <c r="AG1" s="316"/>
    </row>
    <row r="2" spans="3:33" ht="15.75">
      <c r="C2" s="287" t="s">
        <v>176</v>
      </c>
      <c r="D2" s="287"/>
      <c r="E2" s="287"/>
      <c r="F2" s="287"/>
      <c r="G2" s="287"/>
      <c r="H2" s="287"/>
      <c r="I2" s="287"/>
      <c r="J2" s="51"/>
      <c r="K2" s="5"/>
      <c r="L2" s="5"/>
      <c r="M2" s="5"/>
      <c r="N2" s="5"/>
      <c r="O2" s="5"/>
    </row>
    <row r="3" spans="3:33"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33" ht="13.5" customHeight="1">
      <c r="C4" s="283" t="s">
        <v>0</v>
      </c>
      <c r="D4" s="283" t="s">
        <v>1</v>
      </c>
      <c r="E4" s="7" t="s">
        <v>2</v>
      </c>
      <c r="F4" s="283" t="s">
        <v>3</v>
      </c>
      <c r="G4" s="288" t="s">
        <v>4</v>
      </c>
      <c r="H4" s="288"/>
      <c r="I4" s="288"/>
      <c r="J4" s="8"/>
      <c r="K4" s="9"/>
      <c r="L4" s="9"/>
      <c r="M4" s="5"/>
      <c r="N4" s="5"/>
      <c r="O4" s="5"/>
      <c r="P4" s="5"/>
      <c r="Q4" s="5"/>
    </row>
    <row r="5" spans="3:33" ht="13.5" customHeight="1">
      <c r="C5" s="10" t="s">
        <v>5</v>
      </c>
      <c r="D5" s="15">
        <v>15</v>
      </c>
      <c r="E5" s="11">
        <f>(D5/$D$21)*100</f>
        <v>0.55762081784386619</v>
      </c>
      <c r="F5" s="12">
        <v>6</v>
      </c>
      <c r="G5" s="289">
        <v>180000</v>
      </c>
      <c r="H5" s="289"/>
      <c r="I5" s="289"/>
      <c r="J5" s="13"/>
      <c r="K5" s="9"/>
      <c r="L5" s="9"/>
      <c r="M5" s="5"/>
      <c r="N5" s="5"/>
      <c r="O5" s="5"/>
      <c r="P5" s="5"/>
      <c r="Q5" s="5"/>
    </row>
    <row r="6" spans="3:33" ht="12.75" customHeight="1">
      <c r="C6" s="14" t="s">
        <v>6</v>
      </c>
      <c r="D6" s="15">
        <v>2</v>
      </c>
      <c r="E6" s="11">
        <f>(D6/$D$21)*100</f>
        <v>7.434944237918216E-2</v>
      </c>
      <c r="F6" s="12">
        <v>6</v>
      </c>
      <c r="G6" s="290">
        <v>201000</v>
      </c>
      <c r="H6" s="290"/>
      <c r="I6" s="290"/>
      <c r="J6" s="13"/>
      <c r="K6" s="317"/>
      <c r="L6" s="317"/>
      <c r="M6" s="16"/>
      <c r="N6" s="17"/>
      <c r="O6" s="18"/>
      <c r="P6" s="210"/>
      <c r="Q6" s="5"/>
    </row>
    <row r="7" spans="3:33" ht="12.75" customHeight="1">
      <c r="C7" s="14" t="s">
        <v>7</v>
      </c>
      <c r="D7" s="15">
        <v>10</v>
      </c>
      <c r="E7" s="11">
        <v>0.36</v>
      </c>
      <c r="F7" s="12">
        <v>6</v>
      </c>
      <c r="G7" s="290">
        <v>287000</v>
      </c>
      <c r="H7" s="290"/>
      <c r="I7" s="290"/>
      <c r="J7" s="13"/>
      <c r="K7" s="317"/>
      <c r="L7" s="317"/>
      <c r="M7" s="16"/>
      <c r="N7" s="17"/>
      <c r="O7" s="18"/>
      <c r="P7" s="210"/>
      <c r="Q7" s="5"/>
    </row>
    <row r="8" spans="3:33" ht="12.75" customHeight="1">
      <c r="C8" s="14" t="s">
        <v>8</v>
      </c>
      <c r="D8" s="15">
        <v>210</v>
      </c>
      <c r="E8" s="11">
        <f t="shared" ref="E8:E20" si="0">(D8/$D$21)*100</f>
        <v>7.8066914498141262</v>
      </c>
      <c r="F8" s="12">
        <v>6</v>
      </c>
      <c r="G8" s="290">
        <v>268000</v>
      </c>
      <c r="H8" s="290"/>
      <c r="I8" s="290"/>
      <c r="J8" s="19"/>
      <c r="K8" s="317"/>
      <c r="L8" s="317"/>
      <c r="M8" s="16"/>
      <c r="N8" s="17"/>
      <c r="O8" s="18"/>
      <c r="P8" s="210"/>
      <c r="Q8" s="5"/>
    </row>
    <row r="9" spans="3:33" ht="12.75" customHeight="1">
      <c r="C9" s="14" t="s">
        <v>9</v>
      </c>
      <c r="D9" s="15">
        <v>0</v>
      </c>
      <c r="E9" s="11">
        <f t="shared" si="0"/>
        <v>0</v>
      </c>
      <c r="F9" s="12">
        <v>6</v>
      </c>
      <c r="G9" s="290">
        <v>436860.86735199997</v>
      </c>
      <c r="H9" s="290"/>
      <c r="I9" s="290"/>
      <c r="J9" s="13"/>
      <c r="K9" s="317"/>
      <c r="L9" s="317"/>
      <c r="M9" s="16"/>
      <c r="N9" s="17"/>
      <c r="O9" s="18"/>
      <c r="P9" s="210"/>
      <c r="Q9" s="5"/>
    </row>
    <row r="10" spans="3:33" ht="12.75" customHeight="1">
      <c r="C10" s="14" t="s">
        <v>10</v>
      </c>
      <c r="D10" s="15">
        <v>15</v>
      </c>
      <c r="E10" s="11">
        <f t="shared" si="0"/>
        <v>0.55762081784386619</v>
      </c>
      <c r="F10" s="12">
        <v>6</v>
      </c>
      <c r="G10" s="290">
        <v>359000</v>
      </c>
      <c r="H10" s="290"/>
      <c r="I10" s="290"/>
      <c r="J10" s="13"/>
      <c r="K10" s="317"/>
      <c r="L10" s="317"/>
      <c r="M10" s="16"/>
      <c r="N10" s="17"/>
      <c r="O10" s="18"/>
      <c r="P10" s="210"/>
      <c r="Q10" s="5"/>
    </row>
    <row r="11" spans="3:33" ht="12.75" customHeight="1">
      <c r="C11" s="14" t="s">
        <v>11</v>
      </c>
      <c r="D11" s="15">
        <v>1929</v>
      </c>
      <c r="E11" s="11">
        <f t="shared" si="0"/>
        <v>71.71003717472118</v>
      </c>
      <c r="F11" s="12">
        <v>6</v>
      </c>
      <c r="G11" s="290">
        <v>298994.12</v>
      </c>
      <c r="H11" s="290"/>
      <c r="I11" s="290"/>
      <c r="J11" s="13"/>
      <c r="K11" s="317"/>
      <c r="L11" s="317"/>
      <c r="M11" s="16"/>
      <c r="N11" s="17"/>
      <c r="O11" s="18"/>
      <c r="P11" s="210"/>
      <c r="Q11" s="5"/>
    </row>
    <row r="12" spans="3:33" ht="12.75" customHeight="1">
      <c r="C12" s="14" t="s">
        <v>12</v>
      </c>
      <c r="D12" s="15">
        <v>64</v>
      </c>
      <c r="E12" s="11">
        <f t="shared" si="0"/>
        <v>2.3791821561338291</v>
      </c>
      <c r="F12" s="12">
        <v>6</v>
      </c>
      <c r="G12" s="290">
        <v>357766.08</v>
      </c>
      <c r="H12" s="290"/>
      <c r="I12" s="290"/>
      <c r="J12" s="13"/>
      <c r="K12" s="317"/>
      <c r="L12" s="317"/>
      <c r="M12" s="16"/>
      <c r="N12" s="17"/>
      <c r="O12" s="18"/>
      <c r="P12" s="210"/>
      <c r="Q12" s="5"/>
    </row>
    <row r="13" spans="3:33" ht="12.75" customHeight="1">
      <c r="C13" s="14" t="s">
        <v>13</v>
      </c>
      <c r="D13" s="15">
        <v>2</v>
      </c>
      <c r="E13" s="11">
        <f t="shared" si="0"/>
        <v>7.434944237918216E-2</v>
      </c>
      <c r="F13" s="12">
        <v>6</v>
      </c>
      <c r="G13" s="290">
        <v>385623.97</v>
      </c>
      <c r="H13" s="290"/>
      <c r="I13" s="290"/>
      <c r="J13" s="13"/>
      <c r="K13" s="317"/>
      <c r="L13" s="317"/>
      <c r="M13" s="16"/>
      <c r="N13" s="17"/>
      <c r="O13" s="18"/>
      <c r="P13" s="210"/>
      <c r="Q13" s="5"/>
    </row>
    <row r="14" spans="3:33" ht="12.75" customHeight="1">
      <c r="C14" s="14" t="s">
        <v>14</v>
      </c>
      <c r="D14" s="15">
        <v>25</v>
      </c>
      <c r="E14" s="11">
        <f t="shared" si="0"/>
        <v>0.92936802973977695</v>
      </c>
      <c r="F14" s="12">
        <v>6</v>
      </c>
      <c r="G14" s="290">
        <v>349390</v>
      </c>
      <c r="H14" s="290"/>
      <c r="I14" s="290"/>
      <c r="J14" s="13"/>
      <c r="K14" s="317"/>
      <c r="L14" s="317"/>
      <c r="M14" s="16"/>
      <c r="N14" s="17"/>
      <c r="O14" s="18"/>
      <c r="P14" s="210"/>
      <c r="Q14" s="5"/>
    </row>
    <row r="15" spans="3:33" ht="12.75" customHeight="1">
      <c r="C15" s="14" t="s">
        <v>15</v>
      </c>
      <c r="D15" s="15">
        <v>157</v>
      </c>
      <c r="E15" s="11">
        <f t="shared" si="0"/>
        <v>5.8364312267657992</v>
      </c>
      <c r="F15" s="12">
        <v>6</v>
      </c>
      <c r="G15" s="290">
        <v>305101.74</v>
      </c>
      <c r="H15" s="290"/>
      <c r="I15" s="290"/>
      <c r="J15" s="13"/>
      <c r="K15" s="317"/>
      <c r="L15" s="317"/>
      <c r="M15" s="16"/>
      <c r="N15" s="17"/>
      <c r="O15" s="18"/>
      <c r="P15" s="210"/>
      <c r="Q15" s="5"/>
    </row>
    <row r="16" spans="3:33" ht="12.75" customHeight="1">
      <c r="C16" s="277" t="s">
        <v>174</v>
      </c>
      <c r="D16" s="15">
        <v>4</v>
      </c>
      <c r="E16" s="11">
        <f t="shared" si="0"/>
        <v>0.14869888475836432</v>
      </c>
      <c r="F16" s="278">
        <v>6</v>
      </c>
      <c r="G16" s="291">
        <v>0</v>
      </c>
      <c r="H16" s="292"/>
      <c r="I16" s="293"/>
      <c r="J16" s="13"/>
      <c r="K16" s="317"/>
      <c r="L16" s="317"/>
      <c r="M16" s="16"/>
      <c r="N16" s="17"/>
      <c r="O16" s="18"/>
      <c r="P16" s="210"/>
      <c r="Q16" s="5"/>
    </row>
    <row r="17" spans="3:17" ht="12.75" customHeight="1">
      <c r="C17" s="14" t="s">
        <v>16</v>
      </c>
      <c r="D17" s="15">
        <v>1</v>
      </c>
      <c r="E17" s="11">
        <f>(D17/$D$21)*100</f>
        <v>3.717472118959108E-2</v>
      </c>
      <c r="F17" s="12">
        <v>6</v>
      </c>
      <c r="G17" s="290">
        <v>293500</v>
      </c>
      <c r="H17" s="290"/>
      <c r="I17" s="290"/>
      <c r="J17" s="13"/>
      <c r="K17" s="317"/>
      <c r="L17" s="317"/>
      <c r="M17" s="16"/>
      <c r="N17" s="17"/>
      <c r="O17" s="18"/>
      <c r="P17" s="210"/>
      <c r="Q17" s="5"/>
    </row>
    <row r="18" spans="3:17" ht="12.75" customHeight="1">
      <c r="C18" s="14" t="s">
        <v>17</v>
      </c>
      <c r="D18" s="15">
        <v>15</v>
      </c>
      <c r="E18" s="11">
        <f t="shared" si="0"/>
        <v>0.55762081784386619</v>
      </c>
      <c r="F18" s="12">
        <v>10</v>
      </c>
      <c r="G18" s="290">
        <v>712000</v>
      </c>
      <c r="H18" s="290"/>
      <c r="I18" s="290"/>
      <c r="J18" s="13"/>
      <c r="K18" s="317"/>
      <c r="L18" s="317"/>
      <c r="M18" s="16"/>
      <c r="N18" s="17"/>
      <c r="O18" s="18"/>
      <c r="P18" s="210"/>
      <c r="Q18" s="5"/>
    </row>
    <row r="19" spans="3:17" ht="12.75" customHeight="1">
      <c r="C19" s="14" t="s">
        <v>18</v>
      </c>
      <c r="D19" s="15">
        <v>68</v>
      </c>
      <c r="E19" s="11">
        <f t="shared" si="0"/>
        <v>2.5278810408921935</v>
      </c>
      <c r="F19" s="12">
        <v>10</v>
      </c>
      <c r="G19" s="290">
        <v>550000</v>
      </c>
      <c r="H19" s="290"/>
      <c r="I19" s="290"/>
      <c r="J19" s="13"/>
      <c r="K19" s="317"/>
      <c r="L19" s="317"/>
      <c r="M19" s="16"/>
      <c r="N19" s="17"/>
      <c r="O19" s="18"/>
      <c r="P19" s="210"/>
      <c r="Q19" s="5"/>
    </row>
    <row r="20" spans="3:17" ht="12.75" customHeight="1">
      <c r="C20" s="14" t="s">
        <v>19</v>
      </c>
      <c r="D20" s="15">
        <v>173</v>
      </c>
      <c r="E20" s="11">
        <f t="shared" si="0"/>
        <v>6.4312267657992566</v>
      </c>
      <c r="F20" s="20">
        <v>10</v>
      </c>
      <c r="G20" s="294">
        <v>649137.31000000006</v>
      </c>
      <c r="H20" s="294"/>
      <c r="I20" s="294"/>
      <c r="J20" s="13"/>
      <c r="K20" s="317"/>
      <c r="L20" s="317"/>
      <c r="M20" s="16"/>
      <c r="N20" s="17"/>
      <c r="O20" s="18"/>
      <c r="P20" s="210"/>
      <c r="Q20" s="5"/>
    </row>
    <row r="21" spans="3:17" s="6" customFormat="1" ht="18">
      <c r="C21" s="21" t="s">
        <v>20</v>
      </c>
      <c r="D21" s="22">
        <f>SUM(D5:D20)</f>
        <v>2690</v>
      </c>
      <c r="E21" s="276">
        <f>SUM(E5:E20)</f>
        <v>99.988252788104063</v>
      </c>
      <c r="F21" s="23"/>
      <c r="G21" s="295">
        <f>((E5*G5)/100+(E6*G6)/100+(E7*G7)/100+(E8*G8)/100+(E9*G9)/100+(E10*G10)/100+(E11*G11)/100+(E12*G12)/100+(E13*G13)/100+(E14*G14)/100+(E15*G15)/100+(E17*G17)/100+(E18*G18)/100+(E19*G19)/100+(E20*G20)/100)+(G16*E16)/100</f>
        <v>329101.94065055758</v>
      </c>
      <c r="H21" s="295"/>
      <c r="I21" s="295"/>
      <c r="J21" s="24"/>
    </row>
    <row r="22" spans="3:17">
      <c r="C22" s="25" t="s">
        <v>21</v>
      </c>
      <c r="D22" s="26">
        <v>4524.08</v>
      </c>
      <c r="E22" s="27"/>
      <c r="F22" s="28"/>
      <c r="G22" s="28"/>
      <c r="H22" s="28"/>
      <c r="I22" s="29"/>
      <c r="J22" s="30"/>
      <c r="M22" s="5"/>
      <c r="N22" s="5"/>
      <c r="O22" s="5"/>
      <c r="P22" s="5"/>
      <c r="Q22" s="5"/>
    </row>
    <row r="23" spans="3:17">
      <c r="C23" s="296" t="s">
        <v>22</v>
      </c>
      <c r="D23" s="296"/>
      <c r="E23" s="296"/>
      <c r="F23" s="296"/>
      <c r="G23" s="296"/>
      <c r="H23" s="31"/>
      <c r="I23" s="32">
        <f>G21+D22</f>
        <v>333626.02065055759</v>
      </c>
      <c r="J23" s="5"/>
      <c r="K23" s="5"/>
      <c r="L23" s="5"/>
      <c r="M23" s="5"/>
      <c r="N23" s="5"/>
      <c r="O23" s="5"/>
      <c r="P23" s="5"/>
      <c r="Q23" s="5"/>
    </row>
    <row r="24" spans="3:17">
      <c r="C24" s="296" t="s">
        <v>23</v>
      </c>
      <c r="D24" s="296"/>
      <c r="E24" s="296"/>
      <c r="F24" s="296"/>
      <c r="G24" s="296"/>
      <c r="H24" s="31"/>
      <c r="I24" s="32">
        <f>I23-E71</f>
        <v>325568.29231683584</v>
      </c>
      <c r="J24" s="5"/>
      <c r="K24" s="5"/>
      <c r="L24" s="5"/>
      <c r="M24" s="5"/>
      <c r="N24" s="5"/>
      <c r="O24" s="5"/>
      <c r="P24" s="5"/>
      <c r="Q24" s="5"/>
    </row>
    <row r="25" spans="3:17">
      <c r="C25" s="210"/>
      <c r="D25" s="210"/>
      <c r="E25" s="210"/>
      <c r="F25" s="210"/>
      <c r="G25" s="210"/>
      <c r="H25" s="33"/>
      <c r="I25" s="33"/>
      <c r="J25" s="5"/>
      <c r="K25" s="5"/>
      <c r="L25" s="5"/>
      <c r="M25" s="5"/>
      <c r="N25" s="5"/>
      <c r="O25" s="5"/>
      <c r="P25" s="5"/>
      <c r="Q25" s="5"/>
    </row>
    <row r="26" spans="3:17" ht="15.75">
      <c r="C26" s="297" t="s">
        <v>24</v>
      </c>
      <c r="D26" s="297"/>
      <c r="E26" s="297"/>
      <c r="F26" s="297"/>
      <c r="G26" s="297"/>
      <c r="H26" s="34"/>
      <c r="I26" s="35">
        <f>I29+I31+I32+I33+I30</f>
        <v>1.6353161131814682</v>
      </c>
    </row>
    <row r="27" spans="3:17">
      <c r="C27" s="37"/>
      <c r="D27" s="210"/>
      <c r="E27" s="210"/>
      <c r="F27" s="210"/>
      <c r="G27" s="210"/>
      <c r="H27" s="210"/>
      <c r="I27" s="38"/>
      <c r="J27" s="5"/>
      <c r="K27" s="5"/>
      <c r="L27" s="5"/>
      <c r="M27" s="5"/>
      <c r="N27" s="5"/>
      <c r="O27" s="5"/>
      <c r="P27" s="5"/>
      <c r="Q27" s="5"/>
    </row>
    <row r="28" spans="3:17">
      <c r="C28" s="288" t="s">
        <v>25</v>
      </c>
      <c r="D28" s="288"/>
      <c r="E28" s="288"/>
      <c r="F28" s="288"/>
      <c r="G28" s="288"/>
      <c r="H28" s="288"/>
      <c r="I28" s="288"/>
      <c r="J28" s="5"/>
      <c r="K28" s="5"/>
      <c r="L28" s="5"/>
      <c r="M28" s="5"/>
      <c r="N28" s="5"/>
      <c r="O28" s="5"/>
      <c r="P28" s="5"/>
      <c r="Q28" s="5"/>
    </row>
    <row r="29" spans="3:17">
      <c r="C29" s="298" t="s">
        <v>26</v>
      </c>
      <c r="D29" s="298"/>
      <c r="E29" s="298"/>
      <c r="F29" s="298"/>
      <c r="G29" s="298"/>
      <c r="H29" s="39"/>
      <c r="I29" s="46">
        <f>I39/I38</f>
        <v>1.0297975708502023</v>
      </c>
      <c r="J29" s="5"/>
      <c r="K29" s="5"/>
      <c r="L29" s="5"/>
      <c r="M29" s="5"/>
      <c r="N29" s="5"/>
      <c r="O29" s="5"/>
      <c r="P29" s="5"/>
      <c r="Q29" s="5"/>
    </row>
    <row r="30" spans="3:17">
      <c r="C30" s="282"/>
      <c r="D30" s="284" t="s">
        <v>27</v>
      </c>
      <c r="E30" s="284"/>
      <c r="F30" s="284"/>
      <c r="G30" s="284"/>
      <c r="H30" s="41"/>
      <c r="I30" s="40">
        <f>I36*I37</f>
        <v>1.4207999999999998E-2</v>
      </c>
      <c r="J30" s="5"/>
      <c r="K30" s="5"/>
      <c r="L30" s="5"/>
      <c r="M30" s="5"/>
      <c r="N30" s="5"/>
      <c r="O30" s="5"/>
      <c r="P30" s="5"/>
      <c r="Q30" s="5"/>
    </row>
    <row r="31" spans="3:17">
      <c r="C31" s="299" t="s">
        <v>28</v>
      </c>
      <c r="D31" s="299"/>
      <c r="E31" s="299"/>
      <c r="F31" s="299"/>
      <c r="G31" s="299"/>
      <c r="H31" s="41"/>
      <c r="I31" s="42">
        <f>I50</f>
        <v>7.732952999999998E-2</v>
      </c>
      <c r="J31" s="5"/>
      <c r="K31" s="5"/>
      <c r="L31" s="5"/>
      <c r="M31" s="5"/>
      <c r="N31" s="5"/>
      <c r="O31" s="5"/>
      <c r="P31" s="5"/>
      <c r="Q31" s="5"/>
    </row>
    <row r="32" spans="3:17">
      <c r="C32" s="299" t="s">
        <v>29</v>
      </c>
      <c r="D32" s="299"/>
      <c r="E32" s="299"/>
      <c r="F32" s="299"/>
      <c r="G32" s="299"/>
      <c r="H32" s="41"/>
      <c r="I32" s="42">
        <f>H71</f>
        <v>0.18841272001443041</v>
      </c>
      <c r="J32" s="5"/>
      <c r="K32" s="5"/>
      <c r="L32" s="5"/>
      <c r="M32" s="5"/>
      <c r="N32" s="5"/>
      <c r="O32" s="5"/>
      <c r="P32" s="5"/>
      <c r="Q32" s="5"/>
    </row>
    <row r="33" spans="3:17">
      <c r="C33" s="299" t="s">
        <v>30</v>
      </c>
      <c r="D33" s="299"/>
      <c r="E33" s="299"/>
      <c r="F33" s="299"/>
      <c r="G33" s="299"/>
      <c r="H33" s="280"/>
      <c r="I33" s="43">
        <f>(I24*(0.1/100000))</f>
        <v>0.32556829231683582</v>
      </c>
      <c r="J33" s="5"/>
      <c r="K33" s="5"/>
      <c r="L33" s="5"/>
      <c r="M33" s="5"/>
      <c r="N33" s="5"/>
      <c r="O33" s="5"/>
      <c r="P33" s="5"/>
      <c r="Q33" s="5"/>
    </row>
    <row r="34" spans="3:17">
      <c r="C34" s="44"/>
      <c r="D34" s="44"/>
      <c r="E34" s="44"/>
      <c r="F34" s="44"/>
      <c r="G34" s="44"/>
      <c r="H34" s="33"/>
      <c r="I34" s="33"/>
      <c r="J34" s="5"/>
      <c r="K34" s="5"/>
      <c r="L34" s="5"/>
      <c r="M34" s="5"/>
      <c r="N34" s="5"/>
      <c r="O34" s="5"/>
      <c r="P34" s="5"/>
      <c r="Q34" s="5"/>
    </row>
    <row r="35" spans="3:17">
      <c r="C35" s="288" t="s">
        <v>31</v>
      </c>
      <c r="D35" s="288"/>
      <c r="E35" s="288"/>
      <c r="F35" s="288"/>
      <c r="G35" s="288"/>
      <c r="H35" s="288"/>
      <c r="I35" s="288"/>
      <c r="J35" s="5"/>
      <c r="K35" s="5"/>
      <c r="L35" s="5"/>
      <c r="M35" s="5"/>
      <c r="N35" s="5"/>
      <c r="O35" s="5"/>
      <c r="P35" s="5"/>
      <c r="Q35" s="5"/>
    </row>
    <row r="36" spans="3:17">
      <c r="C36" s="300" t="s">
        <v>32</v>
      </c>
      <c r="D36" s="300"/>
      <c r="E36" s="300"/>
      <c r="F36" s="300"/>
      <c r="G36" s="300"/>
      <c r="H36" s="45"/>
      <c r="I36" s="46">
        <v>1.184E-2</v>
      </c>
      <c r="J36" s="5"/>
      <c r="K36" s="5"/>
      <c r="L36" s="5"/>
      <c r="M36" s="5"/>
      <c r="N36" s="5"/>
      <c r="O36" s="5"/>
      <c r="P36" s="5"/>
      <c r="Q36" s="5"/>
    </row>
    <row r="37" spans="3:17">
      <c r="C37" s="301" t="s">
        <v>33</v>
      </c>
      <c r="D37" s="301"/>
      <c r="E37" s="301"/>
      <c r="F37" s="301"/>
      <c r="G37" s="301"/>
      <c r="H37" s="47"/>
      <c r="I37" s="48">
        <v>1.2</v>
      </c>
      <c r="J37" s="5"/>
      <c r="K37" s="5"/>
      <c r="L37" s="5"/>
      <c r="M37" s="5"/>
      <c r="N37" s="5"/>
      <c r="O37" s="5"/>
      <c r="P37" s="5"/>
      <c r="Q37" s="5"/>
    </row>
    <row r="38" spans="3:17" ht="14.25" customHeight="1">
      <c r="C38" s="299" t="s">
        <v>34</v>
      </c>
      <c r="D38" s="299"/>
      <c r="E38" s="299"/>
      <c r="F38" s="299"/>
      <c r="G38" s="299"/>
      <c r="H38" s="41"/>
      <c r="I38" s="49">
        <v>2.4700000000000002</v>
      </c>
      <c r="J38" s="5"/>
      <c r="K38" s="5"/>
      <c r="L38" s="5"/>
      <c r="M38" s="5"/>
      <c r="N38" s="5"/>
      <c r="O38" s="5"/>
      <c r="P38" s="5"/>
      <c r="Q38" s="5"/>
    </row>
    <row r="39" spans="3:17">
      <c r="C39" s="299" t="s">
        <v>35</v>
      </c>
      <c r="D39" s="299"/>
      <c r="E39" s="299"/>
      <c r="F39" s="299"/>
      <c r="G39" s="299"/>
      <c r="H39" s="280"/>
      <c r="I39" s="50">
        <v>2.5436000000000001</v>
      </c>
      <c r="J39" s="51"/>
      <c r="K39" s="5"/>
      <c r="L39" s="5"/>
      <c r="M39" s="5"/>
      <c r="N39" s="5"/>
      <c r="O39" s="5"/>
      <c r="P39" s="52"/>
      <c r="Q39" s="5"/>
    </row>
    <row r="40" spans="3:17">
      <c r="C40" s="210"/>
      <c r="D40" s="210"/>
      <c r="E40" s="210"/>
      <c r="F40" s="210"/>
      <c r="G40" s="210"/>
      <c r="H40" s="28"/>
      <c r="I40" s="28"/>
      <c r="J40" s="5"/>
      <c r="K40" s="5"/>
      <c r="L40" s="5"/>
      <c r="M40" s="5"/>
      <c r="N40" s="5"/>
      <c r="O40" s="5"/>
    </row>
    <row r="41" spans="3:17">
      <c r="C41" s="302" t="s">
        <v>36</v>
      </c>
      <c r="D41" s="302"/>
      <c r="E41" s="302"/>
      <c r="F41" s="302"/>
      <c r="G41" s="302"/>
      <c r="H41" s="302"/>
      <c r="I41" s="302"/>
      <c r="J41" s="53"/>
      <c r="K41" s="53"/>
      <c r="L41" s="269"/>
      <c r="M41" s="5"/>
      <c r="N41" s="5"/>
      <c r="O41" s="5"/>
    </row>
    <row r="42" spans="3:17">
      <c r="C42" s="14"/>
      <c r="D42" s="54"/>
      <c r="E42" s="54"/>
      <c r="F42" s="54"/>
      <c r="G42" s="55" t="s">
        <v>37</v>
      </c>
      <c r="H42" s="55" t="s">
        <v>38</v>
      </c>
      <c r="I42" s="56" t="s">
        <v>39</v>
      </c>
      <c r="L42" s="206"/>
      <c r="M42" s="5"/>
      <c r="N42" s="5"/>
      <c r="O42" s="5"/>
    </row>
    <row r="43" spans="3:17">
      <c r="C43" s="57"/>
      <c r="D43" s="58" t="s">
        <v>40</v>
      </c>
      <c r="E43" s="58" t="s">
        <v>41</v>
      </c>
      <c r="F43" s="58" t="s">
        <v>42</v>
      </c>
      <c r="G43" s="58" t="s">
        <v>43</v>
      </c>
      <c r="H43" s="58" t="s">
        <v>44</v>
      </c>
      <c r="I43" s="59" t="s">
        <v>45</v>
      </c>
      <c r="L43" s="206"/>
      <c r="M43" s="5"/>
      <c r="N43" s="5"/>
      <c r="O43" s="5"/>
    </row>
    <row r="44" spans="3:17">
      <c r="C44" s="60" t="s">
        <v>46</v>
      </c>
      <c r="D44" s="61">
        <v>10.7</v>
      </c>
      <c r="E44" s="62">
        <v>0</v>
      </c>
      <c r="F44" s="62">
        <v>0</v>
      </c>
      <c r="G44" s="63">
        <f t="shared" ref="G44:G49" si="1">D44</f>
        <v>10.7</v>
      </c>
      <c r="H44" s="64">
        <v>5.64E-3</v>
      </c>
      <c r="I44" s="65">
        <f t="shared" ref="I44:I49" si="2">G44*H44</f>
        <v>6.0347999999999999E-2</v>
      </c>
      <c r="L44" s="66"/>
      <c r="M44" s="67"/>
      <c r="N44" s="5"/>
      <c r="O44" s="5"/>
    </row>
    <row r="45" spans="3:17">
      <c r="C45" s="68" t="s">
        <v>47</v>
      </c>
      <c r="D45" s="61">
        <v>9.44</v>
      </c>
      <c r="E45" s="62">
        <v>0</v>
      </c>
      <c r="F45" s="62">
        <v>0</v>
      </c>
      <c r="G45" s="62">
        <f t="shared" si="1"/>
        <v>9.44</v>
      </c>
      <c r="H45" s="64">
        <v>2.63E-4</v>
      </c>
      <c r="I45" s="69">
        <f t="shared" si="2"/>
        <v>2.4827199999999999E-3</v>
      </c>
      <c r="L45" s="66"/>
      <c r="M45" s="67"/>
      <c r="N45" s="5"/>
      <c r="O45" s="5"/>
    </row>
    <row r="46" spans="3:17">
      <c r="C46" s="68" t="s">
        <v>48</v>
      </c>
      <c r="D46" s="61">
        <v>9.08</v>
      </c>
      <c r="E46" s="62">
        <v>0</v>
      </c>
      <c r="F46" s="62">
        <v>0</v>
      </c>
      <c r="G46" s="62">
        <f t="shared" si="1"/>
        <v>9.08</v>
      </c>
      <c r="H46" s="64">
        <v>2.63E-4</v>
      </c>
      <c r="I46" s="69">
        <f t="shared" si="2"/>
        <v>2.3880400000000001E-3</v>
      </c>
      <c r="L46" s="66"/>
      <c r="M46" s="67"/>
      <c r="N46" s="5"/>
      <c r="O46" s="5"/>
    </row>
    <row r="47" spans="3:17">
      <c r="C47" s="68" t="s">
        <v>49</v>
      </c>
      <c r="D47" s="61">
        <v>22.09</v>
      </c>
      <c r="E47" s="62">
        <v>0</v>
      </c>
      <c r="F47" s="62">
        <v>0</v>
      </c>
      <c r="G47" s="62">
        <f t="shared" si="1"/>
        <v>22.09</v>
      </c>
      <c r="H47" s="64">
        <v>3.3000000000000003E-5</v>
      </c>
      <c r="I47" s="69">
        <f t="shared" si="2"/>
        <v>7.2897000000000001E-4</v>
      </c>
      <c r="L47" s="66"/>
      <c r="M47" s="67"/>
      <c r="N47" s="5"/>
      <c r="O47" s="5"/>
    </row>
    <row r="48" spans="3:17">
      <c r="C48" s="68" t="s">
        <v>50</v>
      </c>
      <c r="D48" s="61">
        <v>15.56</v>
      </c>
      <c r="E48" s="62">
        <v>0</v>
      </c>
      <c r="F48" s="62">
        <v>0</v>
      </c>
      <c r="G48" s="62">
        <f t="shared" si="1"/>
        <v>15.56</v>
      </c>
      <c r="H48" s="64">
        <v>5.9999999999999995E-4</v>
      </c>
      <c r="I48" s="69">
        <f t="shared" si="2"/>
        <v>9.3359999999999988E-3</v>
      </c>
      <c r="L48" s="66"/>
      <c r="M48" s="67"/>
      <c r="N48" s="5"/>
      <c r="O48" s="5"/>
    </row>
    <row r="49" spans="3:16">
      <c r="C49" s="70" t="s">
        <v>51</v>
      </c>
      <c r="D49" s="71">
        <v>10.6</v>
      </c>
      <c r="E49" s="72">
        <v>0</v>
      </c>
      <c r="F49" s="72">
        <v>0</v>
      </c>
      <c r="G49" s="72">
        <f t="shared" si="1"/>
        <v>10.6</v>
      </c>
      <c r="H49" s="73">
        <v>1.93E-4</v>
      </c>
      <c r="I49" s="74">
        <f t="shared" si="2"/>
        <v>2.0458E-3</v>
      </c>
      <c r="L49" s="66"/>
      <c r="M49" s="67"/>
      <c r="N49" s="5"/>
      <c r="O49" s="5"/>
    </row>
    <row r="50" spans="3:16">
      <c r="C50" s="75" t="s">
        <v>20</v>
      </c>
      <c r="D50" s="76"/>
      <c r="E50" s="77"/>
      <c r="F50" s="77"/>
      <c r="G50" s="77"/>
      <c r="H50" s="78"/>
      <c r="I50" s="79">
        <f>SUM(I44:I49)</f>
        <v>7.732952999999998E-2</v>
      </c>
      <c r="L50" s="80"/>
      <c r="M50" s="81"/>
      <c r="N50" s="318"/>
      <c r="O50" s="5"/>
      <c r="P50" s="5"/>
    </row>
    <row r="51" spans="3:16">
      <c r="C51" s="206"/>
      <c r="D51" s="210"/>
      <c r="E51" s="210"/>
      <c r="F51" s="210"/>
      <c r="G51" s="210"/>
      <c r="H51" s="210"/>
      <c r="I51" s="82"/>
      <c r="J51" s="82"/>
      <c r="K51" s="83"/>
      <c r="L51" s="83"/>
      <c r="M51" s="5"/>
      <c r="N51" s="5"/>
      <c r="O51" s="5"/>
    </row>
    <row r="52" spans="3:16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3:16" ht="15">
      <c r="C53" s="303" t="s">
        <v>52</v>
      </c>
      <c r="D53" s="303"/>
      <c r="E53" s="303"/>
      <c r="F53" s="303"/>
      <c r="G53" s="303"/>
      <c r="H53" s="303"/>
      <c r="I53" s="303"/>
      <c r="J53" s="303"/>
      <c r="K53" s="5"/>
      <c r="L53" s="5"/>
      <c r="M53" s="5"/>
      <c r="N53" s="5"/>
      <c r="O53" s="5"/>
    </row>
    <row r="54" spans="3:16" ht="15">
      <c r="C54" s="304" t="s">
        <v>53</v>
      </c>
      <c r="D54" s="84" t="s">
        <v>54</v>
      </c>
      <c r="E54" s="85" t="s">
        <v>37</v>
      </c>
      <c r="F54" s="85" t="s">
        <v>37</v>
      </c>
      <c r="G54" s="85" t="s">
        <v>55</v>
      </c>
      <c r="H54" s="85" t="s">
        <v>55</v>
      </c>
      <c r="I54" s="84" t="s">
        <v>56</v>
      </c>
      <c r="J54" s="86" t="s">
        <v>2</v>
      </c>
      <c r="K54" s="5"/>
      <c r="L54" s="5"/>
      <c r="M54" s="5"/>
      <c r="N54" s="5"/>
      <c r="O54" s="5"/>
    </row>
    <row r="55" spans="3:16" ht="15">
      <c r="C55" s="304"/>
      <c r="D55" s="87" t="s">
        <v>57</v>
      </c>
      <c r="E55" s="88" t="s">
        <v>57</v>
      </c>
      <c r="F55" s="88" t="s">
        <v>58</v>
      </c>
      <c r="G55" s="88" t="s">
        <v>59</v>
      </c>
      <c r="H55" s="88" t="s">
        <v>57</v>
      </c>
      <c r="I55" s="87" t="s">
        <v>60</v>
      </c>
      <c r="J55" s="89"/>
      <c r="K55" s="5"/>
      <c r="L55" s="5"/>
      <c r="M55" s="5"/>
      <c r="N55" s="5"/>
      <c r="O55" s="5"/>
    </row>
    <row r="56" spans="3:16" ht="15">
      <c r="C56" s="90" t="s">
        <v>61</v>
      </c>
      <c r="D56" s="91" t="s">
        <v>170</v>
      </c>
      <c r="E56" s="92">
        <v>1168.26</v>
      </c>
      <c r="F56" s="92">
        <v>330</v>
      </c>
      <c r="G56" s="93">
        <v>17</v>
      </c>
      <c r="H56" s="93">
        <f>G56*6</f>
        <v>102</v>
      </c>
      <c r="I56" s="94">
        <v>3</v>
      </c>
      <c r="J56" s="95">
        <f>H56/(H56+H57+H58)</f>
        <v>5.9426707061291072E-3</v>
      </c>
      <c r="K56" s="5"/>
      <c r="L56" s="5"/>
      <c r="M56" s="5"/>
      <c r="N56" s="5"/>
      <c r="O56" s="5"/>
    </row>
    <row r="57" spans="3:16" ht="15">
      <c r="C57" s="90" t="s">
        <v>62</v>
      </c>
      <c r="D57" s="91" t="s">
        <v>171</v>
      </c>
      <c r="E57" s="92">
        <v>1196.76</v>
      </c>
      <c r="F57" s="92">
        <v>411.01</v>
      </c>
      <c r="G57" s="93">
        <f>D21-G56-G58</f>
        <v>2417</v>
      </c>
      <c r="H57" s="93">
        <f>G57*6</f>
        <v>14502</v>
      </c>
      <c r="I57" s="91">
        <v>3</v>
      </c>
      <c r="J57" s="95">
        <f>H57/(H56+H57+H58)</f>
        <v>0.8449079468655325</v>
      </c>
      <c r="K57" s="5"/>
      <c r="L57" s="5"/>
      <c r="M57" s="5"/>
      <c r="N57" s="5"/>
      <c r="O57" s="5"/>
    </row>
    <row r="58" spans="3:16" ht="15">
      <c r="C58" s="96" t="s">
        <v>63</v>
      </c>
      <c r="D58" s="97" t="s">
        <v>172</v>
      </c>
      <c r="E58" s="92">
        <v>1334.78</v>
      </c>
      <c r="F58" s="98">
        <v>528.78</v>
      </c>
      <c r="G58" s="99">
        <v>256</v>
      </c>
      <c r="H58" s="99">
        <f>G58*10</f>
        <v>2560</v>
      </c>
      <c r="I58" s="97">
        <v>3</v>
      </c>
      <c r="J58" s="95">
        <f>H58/(H56+H57+H58)</f>
        <v>0.14914938242833839</v>
      </c>
      <c r="K58" s="5"/>
      <c r="L58" s="5"/>
      <c r="M58" s="5"/>
      <c r="N58" s="5"/>
      <c r="O58" s="5"/>
    </row>
    <row r="59" spans="3:16" ht="15">
      <c r="C59" s="100"/>
      <c r="D59" s="100"/>
      <c r="E59" s="100"/>
      <c r="F59" s="100"/>
      <c r="G59" s="100"/>
      <c r="H59" s="100"/>
      <c r="I59" s="101"/>
      <c r="J59" s="102"/>
      <c r="K59" s="5"/>
      <c r="L59" s="5"/>
      <c r="M59" s="5"/>
      <c r="N59" s="5"/>
      <c r="O59" s="5"/>
    </row>
    <row r="60" spans="3:16" ht="15">
      <c r="C60" s="103" t="s">
        <v>54</v>
      </c>
      <c r="D60" s="104" t="s">
        <v>64</v>
      </c>
      <c r="E60" s="105" t="s">
        <v>64</v>
      </c>
      <c r="F60" s="106" t="s">
        <v>64</v>
      </c>
      <c r="G60" s="100"/>
      <c r="H60" s="100"/>
      <c r="I60" s="100"/>
      <c r="J60" s="100"/>
      <c r="K60" s="5"/>
      <c r="L60" s="5"/>
      <c r="M60" s="5"/>
      <c r="N60" s="5"/>
      <c r="O60" s="5"/>
    </row>
    <row r="61" spans="3:16" ht="15">
      <c r="C61" s="107" t="s">
        <v>57</v>
      </c>
      <c r="D61" s="87" t="s">
        <v>57</v>
      </c>
      <c r="E61" s="88" t="s">
        <v>65</v>
      </c>
      <c r="F61" s="108" t="s">
        <v>66</v>
      </c>
      <c r="G61" s="100"/>
      <c r="H61" s="100"/>
      <c r="I61" s="100"/>
      <c r="J61" s="100"/>
      <c r="K61" s="5"/>
      <c r="L61" s="5"/>
      <c r="M61" s="5"/>
      <c r="N61" s="5"/>
      <c r="O61" s="5"/>
    </row>
    <row r="62" spans="3:16" ht="15">
      <c r="C62" s="109" t="s">
        <v>61</v>
      </c>
      <c r="D62" s="110">
        <v>88500</v>
      </c>
      <c r="E62" s="111">
        <v>37000</v>
      </c>
      <c r="F62" s="112">
        <f>E62</f>
        <v>37000</v>
      </c>
      <c r="G62" s="113"/>
      <c r="H62" s="100"/>
      <c r="I62" s="100"/>
      <c r="J62" s="100"/>
      <c r="K62" s="5"/>
      <c r="L62" s="5"/>
      <c r="M62" s="5"/>
      <c r="N62" s="5"/>
      <c r="O62" s="5"/>
    </row>
    <row r="63" spans="3:16" ht="15">
      <c r="C63" s="109" t="s">
        <v>62</v>
      </c>
      <c r="D63" s="110">
        <v>88500</v>
      </c>
      <c r="E63" s="111">
        <v>37000</v>
      </c>
      <c r="F63" s="112">
        <f>E63</f>
        <v>37000</v>
      </c>
      <c r="G63" s="100"/>
      <c r="H63" s="100"/>
      <c r="I63" s="100"/>
      <c r="J63" s="100"/>
      <c r="K63" s="5"/>
      <c r="L63" s="5"/>
      <c r="M63" s="5"/>
      <c r="N63" s="5"/>
      <c r="O63" s="5"/>
    </row>
    <row r="64" spans="3:16" ht="15">
      <c r="C64" s="114" t="s">
        <v>63</v>
      </c>
      <c r="D64" s="115">
        <v>88500</v>
      </c>
      <c r="E64" s="116">
        <v>37000</v>
      </c>
      <c r="F64" s="117">
        <f>E64</f>
        <v>37000</v>
      </c>
      <c r="G64" s="100"/>
      <c r="H64" s="100"/>
      <c r="I64" s="100"/>
      <c r="J64" s="100"/>
      <c r="K64" s="5"/>
      <c r="L64" s="5"/>
      <c r="M64" s="5"/>
      <c r="N64" s="5"/>
      <c r="O64" s="5"/>
    </row>
    <row r="65" spans="3:15" ht="15">
      <c r="C65" s="100"/>
      <c r="D65" s="100"/>
      <c r="E65" s="100"/>
      <c r="F65" s="100"/>
      <c r="G65" s="100"/>
      <c r="H65" s="100"/>
      <c r="I65" s="100"/>
      <c r="J65" s="100"/>
      <c r="K65" s="5"/>
      <c r="L65" s="5"/>
      <c r="M65" s="5"/>
      <c r="N65" s="5"/>
      <c r="O65" s="5"/>
    </row>
    <row r="66" spans="3:15" ht="15">
      <c r="C66" s="103" t="s">
        <v>54</v>
      </c>
      <c r="D66" s="104" t="s">
        <v>67</v>
      </c>
      <c r="E66" s="105" t="s">
        <v>68</v>
      </c>
      <c r="F66" s="105" t="s">
        <v>69</v>
      </c>
      <c r="G66" s="105" t="s">
        <v>69</v>
      </c>
      <c r="H66" s="106" t="s">
        <v>70</v>
      </c>
      <c r="I66" s="100"/>
      <c r="J66" s="118"/>
      <c r="K66" s="5"/>
      <c r="L66" s="5"/>
      <c r="M66" s="5"/>
      <c r="N66" s="5"/>
      <c r="O66" s="5"/>
    </row>
    <row r="67" spans="3:15" ht="15">
      <c r="C67" s="107" t="s">
        <v>57</v>
      </c>
      <c r="D67" s="87" t="s">
        <v>71</v>
      </c>
      <c r="E67" s="88" t="s">
        <v>72</v>
      </c>
      <c r="F67" s="88" t="s">
        <v>73</v>
      </c>
      <c r="G67" s="88" t="s">
        <v>74</v>
      </c>
      <c r="H67" s="108" t="s">
        <v>75</v>
      </c>
      <c r="I67" s="100"/>
      <c r="J67" s="118"/>
      <c r="K67" s="5"/>
      <c r="L67" s="5"/>
      <c r="M67" s="5"/>
      <c r="N67" s="5"/>
      <c r="O67" s="5"/>
    </row>
    <row r="68" spans="3:15" ht="15">
      <c r="C68" s="109" t="s">
        <v>173</v>
      </c>
      <c r="D68" s="119">
        <f>E56*6</f>
        <v>7009.5599999999995</v>
      </c>
      <c r="E68" s="120">
        <f>D68*J56</f>
        <v>41.655506874854339</v>
      </c>
      <c r="F68" s="120">
        <f>F56*6*I56</f>
        <v>5940</v>
      </c>
      <c r="G68" s="121">
        <f>(D68+F68)/D62</f>
        <v>0.14632271186440676</v>
      </c>
      <c r="H68" s="122">
        <f>G68*J56</f>
        <v>8.6954769343798003E-4</v>
      </c>
      <c r="I68" s="100"/>
      <c r="J68" s="118"/>
      <c r="K68" s="5"/>
      <c r="L68" s="5"/>
      <c r="M68" s="5"/>
      <c r="N68" s="5"/>
      <c r="O68" s="5"/>
    </row>
    <row r="69" spans="3:15" ht="15">
      <c r="C69" s="109" t="s">
        <v>62</v>
      </c>
      <c r="D69" s="119">
        <f>(E57)*6</f>
        <v>7180.5599999999995</v>
      </c>
      <c r="E69" s="120">
        <f>D69*J57</f>
        <v>6066.9122069447676</v>
      </c>
      <c r="F69" s="120">
        <f>F57*6*I58</f>
        <v>7398.18</v>
      </c>
      <c r="G69" s="121">
        <f>(D69+F69)/D63</f>
        <v>0.16473152542372882</v>
      </c>
      <c r="H69" s="122">
        <f>G69*J57</f>
        <v>0.13918297492978998</v>
      </c>
      <c r="I69" s="319"/>
      <c r="J69" s="123"/>
      <c r="K69" s="5"/>
      <c r="L69" s="5"/>
      <c r="M69" s="5"/>
      <c r="N69" s="5"/>
      <c r="O69" s="5"/>
    </row>
    <row r="70" spans="3:15" ht="15">
      <c r="C70" s="114" t="s">
        <v>63</v>
      </c>
      <c r="D70" s="119">
        <f>(E58)*10</f>
        <v>13347.8</v>
      </c>
      <c r="E70" s="124">
        <f>D70*J58</f>
        <v>1990.8161267769751</v>
      </c>
      <c r="F70" s="124">
        <f>F58*10*I58</f>
        <v>15863.399999999998</v>
      </c>
      <c r="G70" s="125">
        <f>(D70+F70)/D64</f>
        <v>0.33007005649717513</v>
      </c>
      <c r="H70" s="126">
        <f>G70*J58</f>
        <v>4.9229745084640432E-2</v>
      </c>
      <c r="I70" s="319"/>
      <c r="J70" s="127"/>
      <c r="K70" s="5"/>
      <c r="L70" s="5"/>
      <c r="M70" s="5"/>
      <c r="N70" s="5"/>
      <c r="O70" s="5"/>
    </row>
    <row r="71" spans="3:15" ht="15">
      <c r="C71" s="128" t="s">
        <v>20</v>
      </c>
      <c r="D71" s="129"/>
      <c r="E71" s="130">
        <f>SUM(E69:E70)</f>
        <v>8057.7283337217432</v>
      </c>
      <c r="F71" s="130">
        <f>+F69*J57+F70*J58</f>
        <v>8616.7973875553489</v>
      </c>
      <c r="G71" s="131"/>
      <c r="H71" s="132">
        <f>SUM(H69:H70)</f>
        <v>0.18841272001443041</v>
      </c>
      <c r="I71" s="133"/>
      <c r="J71" s="134"/>
      <c r="K71" s="5"/>
      <c r="L71" s="5"/>
      <c r="M71" s="5"/>
      <c r="N71" s="5"/>
      <c r="O71" s="5"/>
    </row>
    <row r="72" spans="3:1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3:15">
      <c r="C73" s="206"/>
      <c r="D73" s="17"/>
      <c r="E73" s="135"/>
      <c r="F73" s="136"/>
      <c r="G73" s="136"/>
      <c r="H73" s="136"/>
      <c r="I73" s="17"/>
      <c r="J73" s="137"/>
      <c r="K73" s="81"/>
      <c r="L73" s="81"/>
      <c r="M73" s="5"/>
      <c r="N73" s="5"/>
      <c r="O73" s="5"/>
    </row>
    <row r="74" spans="3:1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3:15">
      <c r="C75" s="288" t="s">
        <v>76</v>
      </c>
      <c r="D75" s="28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3:15">
      <c r="C76" s="283" t="s">
        <v>77</v>
      </c>
      <c r="D76" s="283" t="s">
        <v>1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3:15">
      <c r="C77" s="138">
        <v>2007</v>
      </c>
      <c r="D77" s="139">
        <v>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3:15">
      <c r="C78" s="138">
        <v>2008</v>
      </c>
      <c r="D78" s="139">
        <v>11</v>
      </c>
      <c r="E78" s="5"/>
      <c r="F78" s="5"/>
      <c r="G78" s="146"/>
      <c r="H78" s="146"/>
      <c r="I78" s="146"/>
      <c r="J78" s="5"/>
      <c r="K78" s="5"/>
      <c r="L78" s="5"/>
      <c r="M78" s="5"/>
      <c r="N78" s="5"/>
      <c r="O78" s="5"/>
    </row>
    <row r="79" spans="3:15">
      <c r="C79" s="138">
        <v>2009</v>
      </c>
      <c r="D79" s="139">
        <v>52</v>
      </c>
      <c r="E79" s="5"/>
      <c r="F79" s="5"/>
      <c r="G79" s="146"/>
      <c r="H79" s="146"/>
      <c r="I79" s="146"/>
      <c r="J79" s="5"/>
      <c r="K79" s="5"/>
      <c r="L79" s="5"/>
      <c r="M79" s="5"/>
      <c r="N79" s="5"/>
      <c r="O79" s="5"/>
    </row>
    <row r="80" spans="3:15">
      <c r="C80" s="138">
        <v>2010</v>
      </c>
      <c r="D80" s="139">
        <v>302</v>
      </c>
      <c r="E80" s="5"/>
      <c r="F80" s="5"/>
      <c r="G80" s="146"/>
      <c r="H80" s="146"/>
      <c r="I80" s="146"/>
      <c r="J80" s="5"/>
      <c r="K80" s="5"/>
      <c r="L80" s="5"/>
      <c r="M80" s="5"/>
      <c r="N80" s="5"/>
      <c r="O80" s="5"/>
    </row>
    <row r="81" spans="3:15">
      <c r="C81" s="138">
        <v>2011</v>
      </c>
      <c r="D81" s="139">
        <v>363</v>
      </c>
      <c r="E81" s="5"/>
      <c r="F81" s="5"/>
      <c r="G81" s="146"/>
      <c r="H81" s="146"/>
      <c r="I81" s="146"/>
      <c r="J81" s="5"/>
      <c r="K81" s="5"/>
      <c r="L81" s="5"/>
      <c r="M81" s="5"/>
      <c r="N81" s="5"/>
      <c r="O81" s="5"/>
    </row>
    <row r="82" spans="3:15">
      <c r="C82" s="138">
        <v>2012</v>
      </c>
      <c r="D82" s="139">
        <v>456</v>
      </c>
      <c r="E82" s="5"/>
      <c r="F82" s="5"/>
      <c r="G82" s="146"/>
      <c r="H82" s="146"/>
      <c r="I82" s="146"/>
      <c r="J82" s="5"/>
      <c r="K82" s="5"/>
      <c r="L82" s="5"/>
      <c r="M82" s="5"/>
      <c r="N82" s="5"/>
      <c r="O82" s="5"/>
    </row>
    <row r="83" spans="3:15">
      <c r="C83" s="138">
        <v>2013</v>
      </c>
      <c r="D83" s="139">
        <v>161</v>
      </c>
      <c r="E83" s="5"/>
      <c r="F83" s="5"/>
      <c r="G83" s="146"/>
      <c r="H83" s="146"/>
      <c r="I83" s="146"/>
      <c r="J83" s="5"/>
      <c r="K83" s="5"/>
      <c r="L83" s="5"/>
      <c r="M83" s="5"/>
      <c r="N83" s="5"/>
      <c r="O83" s="5"/>
    </row>
    <row r="84" spans="3:15">
      <c r="C84" s="138">
        <v>2014</v>
      </c>
      <c r="D84" s="139">
        <v>345</v>
      </c>
      <c r="E84" s="5"/>
      <c r="F84" s="5"/>
      <c r="G84" s="146"/>
      <c r="H84" s="146"/>
      <c r="I84" s="146"/>
      <c r="J84" s="5"/>
      <c r="K84" s="5"/>
      <c r="L84" s="5"/>
      <c r="M84" s="5"/>
      <c r="N84" s="5"/>
      <c r="O84" s="5"/>
    </row>
    <row r="85" spans="3:15">
      <c r="C85" s="138">
        <v>2015</v>
      </c>
      <c r="D85" s="139">
        <v>273</v>
      </c>
      <c r="E85" s="5"/>
      <c r="F85" s="5"/>
      <c r="G85" s="146"/>
      <c r="H85" s="146"/>
      <c r="I85" s="146"/>
      <c r="J85" s="5"/>
      <c r="K85" s="5"/>
      <c r="L85" s="5"/>
      <c r="M85" s="5"/>
      <c r="N85" s="5"/>
      <c r="O85" s="5"/>
    </row>
    <row r="86" spans="3:15">
      <c r="C86" s="138">
        <v>2016</v>
      </c>
      <c r="D86" s="139">
        <v>171</v>
      </c>
      <c r="E86" s="5"/>
      <c r="F86" s="5"/>
      <c r="G86" s="146"/>
      <c r="H86" s="146"/>
      <c r="I86" s="146"/>
      <c r="J86" s="5"/>
      <c r="K86" s="5"/>
      <c r="L86" s="5"/>
      <c r="M86" s="5"/>
      <c r="N86" s="5"/>
      <c r="O86" s="5"/>
    </row>
    <row r="87" spans="3:15">
      <c r="C87" s="138">
        <v>2017</v>
      </c>
      <c r="D87" s="139">
        <v>381</v>
      </c>
      <c r="E87" s="5"/>
      <c r="F87" s="5"/>
      <c r="G87" s="146"/>
      <c r="H87" s="146"/>
      <c r="I87" s="146"/>
      <c r="J87" s="5"/>
      <c r="K87" s="5"/>
      <c r="L87" s="5"/>
      <c r="M87" s="5"/>
      <c r="N87" s="5"/>
      <c r="O87" s="5"/>
    </row>
    <row r="88" spans="3:15">
      <c r="C88" s="138">
        <v>2018</v>
      </c>
      <c r="D88" s="139">
        <v>175</v>
      </c>
      <c r="E88" s="5"/>
      <c r="F88" s="5"/>
      <c r="G88" s="146"/>
      <c r="H88" s="146"/>
      <c r="I88" s="146"/>
      <c r="J88" s="5"/>
      <c r="K88" s="5"/>
      <c r="L88" s="5"/>
      <c r="M88" s="5"/>
      <c r="N88" s="5"/>
      <c r="O88" s="5"/>
    </row>
    <row r="89" spans="3:15">
      <c r="C89" s="283" t="s">
        <v>20</v>
      </c>
      <c r="D89" s="140">
        <f>SUM(D77:D88)</f>
        <v>2690</v>
      </c>
      <c r="E89" s="5"/>
      <c r="F89" s="5"/>
      <c r="G89" s="5"/>
      <c r="H89" s="5"/>
      <c r="I89" s="5"/>
      <c r="J89" s="5"/>
      <c r="K89" s="320"/>
      <c r="L89" s="320"/>
      <c r="M89" s="5"/>
      <c r="N89" s="5"/>
      <c r="O89" s="5"/>
    </row>
    <row r="90" spans="3:15">
      <c r="C90" s="5"/>
      <c r="D90" s="5"/>
      <c r="E90" s="5"/>
      <c r="F90" s="5"/>
      <c r="G90" s="51"/>
      <c r="H90" s="51"/>
      <c r="I90" s="51"/>
      <c r="J90" s="5"/>
      <c r="K90" s="320"/>
      <c r="L90" s="320"/>
      <c r="M90" s="5"/>
      <c r="N90" s="5"/>
      <c r="O90" s="5"/>
    </row>
    <row r="91" spans="3:15">
      <c r="C91" s="141" t="s">
        <v>64</v>
      </c>
      <c r="D91" s="142">
        <v>7.31</v>
      </c>
      <c r="E91" s="29"/>
      <c r="F91" s="210"/>
      <c r="G91" s="5"/>
      <c r="H91" s="5"/>
      <c r="I91" s="51"/>
      <c r="J91" s="5"/>
      <c r="K91" s="5"/>
      <c r="L91" s="5"/>
      <c r="M91" s="5"/>
      <c r="N91" s="5"/>
      <c r="O91" s="5"/>
    </row>
    <row r="92" spans="3:15">
      <c r="C92" s="143" t="s">
        <v>78</v>
      </c>
      <c r="D92" s="144">
        <v>3.55</v>
      </c>
      <c r="E92" s="38"/>
      <c r="F92" s="210"/>
      <c r="G92" s="5"/>
      <c r="H92" s="5"/>
      <c r="I92" s="5"/>
      <c r="J92" s="5"/>
      <c r="K92" s="321"/>
      <c r="L92" s="321"/>
      <c r="M92" s="5"/>
      <c r="N92" s="5"/>
      <c r="O92" s="5"/>
    </row>
    <row r="93" spans="3:15" ht="15">
      <c r="C93" s="143" t="s">
        <v>79</v>
      </c>
      <c r="D93" s="145">
        <f>D89-D96</f>
        <v>2690</v>
      </c>
      <c r="E93" s="38"/>
      <c r="F93" s="210"/>
      <c r="G93" s="146"/>
      <c r="H93" s="146"/>
      <c r="I93" s="146"/>
      <c r="J93" s="5"/>
      <c r="K93" s="147"/>
      <c r="L93" s="147"/>
      <c r="M93" s="5"/>
      <c r="N93" s="5"/>
      <c r="O93" s="5"/>
    </row>
    <row r="94" spans="3:15">
      <c r="C94" s="143" t="s">
        <v>80</v>
      </c>
      <c r="D94" s="148">
        <f>(D93/D89)*100</f>
        <v>100</v>
      </c>
      <c r="E94" s="38">
        <f>D93/D89</f>
        <v>1</v>
      </c>
      <c r="F94" s="210"/>
      <c r="G94" s="149"/>
      <c r="H94" s="5"/>
      <c r="I94" s="146"/>
      <c r="J94" s="5"/>
      <c r="K94" s="5"/>
      <c r="L94" s="5"/>
      <c r="M94" s="5"/>
      <c r="N94" s="5"/>
      <c r="O94" s="5"/>
    </row>
    <row r="95" spans="3:15">
      <c r="C95" s="143" t="s">
        <v>81</v>
      </c>
      <c r="D95" s="150">
        <v>7.74</v>
      </c>
      <c r="E95" s="38">
        <f>(1-E94)*100</f>
        <v>0</v>
      </c>
      <c r="F95" s="275"/>
      <c r="G95" s="5"/>
      <c r="H95" s="5"/>
      <c r="I95" s="5"/>
      <c r="J95" s="5"/>
      <c r="K95" s="5"/>
      <c r="L95" s="5"/>
      <c r="M95" s="5"/>
      <c r="N95" s="5"/>
      <c r="O95" s="5"/>
    </row>
    <row r="96" spans="3:15" ht="15">
      <c r="C96" s="143" t="s">
        <v>82</v>
      </c>
      <c r="D96" s="145">
        <v>0</v>
      </c>
      <c r="E96" s="38"/>
      <c r="F96" s="275"/>
      <c r="G96" s="5"/>
      <c r="H96" s="5"/>
      <c r="I96" s="146"/>
      <c r="J96" s="5"/>
      <c r="K96" s="5"/>
      <c r="L96" s="5"/>
      <c r="M96" s="5"/>
      <c r="N96" s="5"/>
      <c r="O96" s="5"/>
    </row>
    <row r="97" spans="3:15">
      <c r="C97" s="151" t="s">
        <v>83</v>
      </c>
      <c r="D97" s="152">
        <v>4.83</v>
      </c>
      <c r="E97" s="153"/>
      <c r="F97" s="210"/>
      <c r="G97" s="5"/>
      <c r="H97" s="5"/>
      <c r="I97" s="5"/>
      <c r="J97" s="5"/>
      <c r="K97" s="5"/>
      <c r="L97" s="5"/>
      <c r="M97" s="5"/>
      <c r="N97" s="5"/>
      <c r="O97" s="5"/>
    </row>
    <row r="98" spans="3:15" ht="13.5" customHeight="1">
      <c r="C98" s="307" t="s">
        <v>84</v>
      </c>
      <c r="D98" s="307"/>
      <c r="E98" s="154">
        <v>0.1</v>
      </c>
      <c r="F98" s="155"/>
      <c r="G98" s="82"/>
      <c r="H98" s="82"/>
      <c r="I98" s="5"/>
      <c r="J98" s="5"/>
      <c r="K98" s="5"/>
      <c r="L98" s="5"/>
      <c r="M98" s="5"/>
      <c r="N98" s="5"/>
      <c r="O98" s="5"/>
    </row>
    <row r="99" spans="3:1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3:15" ht="15.75">
      <c r="C100" s="156" t="s">
        <v>85</v>
      </c>
      <c r="D100" s="157">
        <f>F107+F114</f>
        <v>66443.829094441142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>
      <c r="C101" s="18"/>
      <c r="D101" s="15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3:15">
      <c r="C102" s="159"/>
      <c r="D102" s="159" t="s">
        <v>86</v>
      </c>
      <c r="E102" s="159" t="s">
        <v>87</v>
      </c>
      <c r="F102" s="159" t="s">
        <v>88</v>
      </c>
      <c r="H102" s="5"/>
      <c r="K102" s="5"/>
      <c r="L102" s="5"/>
      <c r="M102" s="5"/>
      <c r="N102" s="5"/>
      <c r="O102" s="5"/>
    </row>
    <row r="103" spans="3:15">
      <c r="C103" s="160" t="s">
        <v>89</v>
      </c>
      <c r="D103" s="161" t="s">
        <v>90</v>
      </c>
      <c r="E103" s="161" t="s">
        <v>91</v>
      </c>
      <c r="F103" s="161" t="s">
        <v>92</v>
      </c>
      <c r="H103" s="5"/>
      <c r="K103" s="5"/>
      <c r="L103" s="5"/>
      <c r="M103" s="5"/>
      <c r="N103" s="5"/>
      <c r="O103" s="5"/>
    </row>
    <row r="104" spans="3:15" ht="12.75" customHeight="1">
      <c r="C104" s="166" t="s">
        <v>93</v>
      </c>
      <c r="D104" s="167">
        <f>I24*(1-E98)/D91</f>
        <v>40083.647480868982</v>
      </c>
      <c r="E104" s="162" t="s">
        <v>94</v>
      </c>
      <c r="F104" s="163">
        <f>(D104*D94)/100</f>
        <v>40083.647480868982</v>
      </c>
      <c r="H104" s="5"/>
      <c r="K104" s="5"/>
      <c r="L104" s="5"/>
      <c r="M104" s="5"/>
      <c r="N104" s="5"/>
      <c r="O104" s="5"/>
    </row>
    <row r="105" spans="3:15" ht="15.75">
      <c r="C105" s="164" t="s">
        <v>95</v>
      </c>
      <c r="D105" s="120">
        <f>+(E105)*I24</f>
        <v>39068.195078020297</v>
      </c>
      <c r="E105" s="174">
        <v>0.12</v>
      </c>
      <c r="F105" s="165">
        <f>(I24*E105)/100</f>
        <v>390.68195078020295</v>
      </c>
      <c r="G105" s="322"/>
      <c r="H105" s="100"/>
      <c r="I105" s="323"/>
      <c r="J105" s="324"/>
      <c r="K105" s="325"/>
      <c r="L105" s="326"/>
      <c r="M105" s="5"/>
      <c r="N105" s="5"/>
      <c r="O105" s="5"/>
    </row>
    <row r="106" spans="3:15">
      <c r="C106" s="166" t="s">
        <v>96</v>
      </c>
      <c r="D106" s="167">
        <f>(7000+2000)</f>
        <v>9000</v>
      </c>
      <c r="E106" s="174">
        <v>0.2</v>
      </c>
      <c r="F106" s="168">
        <f>D106*E106</f>
        <v>1800</v>
      </c>
      <c r="H106" s="5"/>
      <c r="K106" s="5"/>
      <c r="L106" s="5"/>
      <c r="M106" s="5"/>
      <c r="N106" s="5"/>
      <c r="O106" s="5"/>
    </row>
    <row r="107" spans="3:15">
      <c r="C107" s="308" t="s">
        <v>97</v>
      </c>
      <c r="D107" s="308"/>
      <c r="E107" s="308"/>
      <c r="F107" s="169">
        <f>SUM(F104:F106)</f>
        <v>42274.329431649188</v>
      </c>
      <c r="H107" s="5"/>
      <c r="K107" s="5"/>
      <c r="L107" s="5"/>
      <c r="M107" s="5"/>
      <c r="N107" s="5"/>
      <c r="O107" s="5"/>
    </row>
    <row r="108" spans="3:15">
      <c r="C108" s="5"/>
      <c r="D108" s="5"/>
      <c r="E108" s="5"/>
      <c r="F108" s="5"/>
      <c r="G108" s="5"/>
      <c r="H108" s="5"/>
      <c r="K108" s="5"/>
      <c r="L108" s="5"/>
      <c r="M108" s="5"/>
      <c r="N108" s="5"/>
      <c r="O108" s="5"/>
    </row>
    <row r="109" spans="3:15">
      <c r="C109" s="170"/>
      <c r="D109" s="159" t="s">
        <v>98</v>
      </c>
      <c r="E109" s="170"/>
      <c r="F109" s="159" t="s">
        <v>88</v>
      </c>
      <c r="G109" s="159" t="s">
        <v>99</v>
      </c>
      <c r="H109" s="5"/>
      <c r="K109" s="5"/>
      <c r="L109" s="5"/>
      <c r="M109" s="5"/>
      <c r="N109" s="5"/>
      <c r="O109" s="5"/>
    </row>
    <row r="110" spans="3:15">
      <c r="C110" s="171" t="s">
        <v>100</v>
      </c>
      <c r="D110" s="161" t="s">
        <v>90</v>
      </c>
      <c r="E110" s="161" t="s">
        <v>101</v>
      </c>
      <c r="F110" s="161" t="s">
        <v>102</v>
      </c>
      <c r="G110" s="161" t="s">
        <v>103</v>
      </c>
      <c r="K110" s="5"/>
      <c r="L110" s="5"/>
      <c r="M110" s="172"/>
      <c r="N110" s="5"/>
      <c r="O110" s="5"/>
    </row>
    <row r="111" spans="3:15" ht="12.75" customHeight="1">
      <c r="C111" s="143" t="s">
        <v>93</v>
      </c>
      <c r="D111" s="167">
        <f>(((I24-(D92*(1-E98)*I24)/7.38)*(D94/100)+(I24*E98*(1-(D94/100)))))</f>
        <v>184621.04381381546</v>
      </c>
      <c r="E111" s="174">
        <v>0.12</v>
      </c>
      <c r="F111" s="167">
        <f>D111*E111</f>
        <v>22154.525257657853</v>
      </c>
      <c r="G111" s="173">
        <v>0</v>
      </c>
      <c r="K111" s="5"/>
      <c r="L111" s="5"/>
      <c r="M111" s="5"/>
      <c r="N111" s="5"/>
      <c r="O111" s="5"/>
    </row>
    <row r="112" spans="3:15">
      <c r="C112" s="143" t="s">
        <v>104</v>
      </c>
      <c r="D112" s="167">
        <f>I24*E112</f>
        <v>16278.414615841793</v>
      </c>
      <c r="E112" s="174">
        <v>0.05</v>
      </c>
      <c r="F112" s="62">
        <f>D112*E112</f>
        <v>813.92073079208967</v>
      </c>
      <c r="G112" s="173">
        <v>0.05</v>
      </c>
      <c r="K112" s="5"/>
      <c r="L112" s="5"/>
      <c r="M112" s="16"/>
      <c r="N112" s="5"/>
      <c r="O112" s="5"/>
    </row>
    <row r="113" spans="3:33" ht="13.5" customHeight="1">
      <c r="C113" s="143" t="s">
        <v>105</v>
      </c>
      <c r="D113" s="167">
        <f>I23*G113</f>
        <v>10008.780619516727</v>
      </c>
      <c r="E113" s="174">
        <v>0.12</v>
      </c>
      <c r="F113" s="167">
        <f>D113*E113</f>
        <v>1201.0536743420071</v>
      </c>
      <c r="G113" s="173">
        <v>0.03</v>
      </c>
      <c r="K113" s="5"/>
      <c r="L113" s="5"/>
      <c r="M113" s="175"/>
      <c r="N113" s="5"/>
      <c r="O113" s="5"/>
    </row>
    <row r="114" spans="3:33" ht="13.5" customHeight="1">
      <c r="C114" s="281" t="s">
        <v>97</v>
      </c>
      <c r="D114" s="176">
        <f>SUM(D111:D113)</f>
        <v>210908.23904917398</v>
      </c>
      <c r="E114" s="281"/>
      <c r="F114" s="169">
        <f>SUM(F111:F113)</f>
        <v>24169.499662791954</v>
      </c>
      <c r="G114" s="177"/>
      <c r="K114" s="5"/>
      <c r="L114" s="5"/>
      <c r="M114" s="5"/>
      <c r="N114" s="5"/>
      <c r="O114" s="5"/>
    </row>
    <row r="115" spans="3:33" s="6" customFormat="1">
      <c r="I115" s="3"/>
      <c r="J115" s="2"/>
      <c r="K115" s="3"/>
      <c r="L115" s="3"/>
      <c r="M115" s="4"/>
      <c r="N115" s="3"/>
      <c r="O115" s="3"/>
      <c r="P115" s="2"/>
      <c r="Q115" s="4"/>
      <c r="R115" s="3"/>
      <c r="S115" s="3"/>
      <c r="T115" s="2"/>
      <c r="U115" s="3"/>
      <c r="V115" s="4"/>
      <c r="W115" s="3"/>
      <c r="X115" s="3"/>
      <c r="Y115" s="4"/>
      <c r="Z115" s="3"/>
      <c r="AA115" s="4"/>
      <c r="AB115" s="4"/>
      <c r="AC115" s="3"/>
      <c r="AD115" s="316"/>
      <c r="AE115" s="316"/>
      <c r="AF115" s="316"/>
      <c r="AG115" s="316"/>
    </row>
    <row r="116" spans="3:33" ht="15.75">
      <c r="C116" s="178" t="s">
        <v>106</v>
      </c>
      <c r="D116" s="157">
        <f>D140</f>
        <v>238490.6569895173</v>
      </c>
      <c r="E116" s="5"/>
      <c r="F116" s="5"/>
      <c r="G116" s="5"/>
      <c r="H116" s="5"/>
      <c r="I116" s="5"/>
      <c r="J116" s="5"/>
      <c r="K116" s="179"/>
      <c r="L116" s="179"/>
      <c r="M116" s="5"/>
      <c r="N116" s="179"/>
      <c r="O116" s="16"/>
    </row>
    <row r="117" spans="3:33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3:33">
      <c r="C118" s="309" t="s">
        <v>107</v>
      </c>
      <c r="D118" s="309"/>
      <c r="E118" s="309"/>
      <c r="F118" s="309"/>
      <c r="G118" s="309"/>
      <c r="H118" s="309"/>
      <c r="I118" s="309"/>
      <c r="J118" s="180"/>
      <c r="K118" s="53"/>
      <c r="L118" s="53"/>
      <c r="M118" s="53"/>
      <c r="N118" s="53"/>
      <c r="O118" s="5"/>
    </row>
    <row r="119" spans="3:33">
      <c r="C119" s="14"/>
      <c r="D119" s="181" t="s">
        <v>108</v>
      </c>
      <c r="E119" s="182" t="s">
        <v>109</v>
      </c>
      <c r="F119" s="182" t="s">
        <v>110</v>
      </c>
      <c r="G119" s="182" t="s">
        <v>111</v>
      </c>
      <c r="H119" s="181" t="s">
        <v>112</v>
      </c>
      <c r="I119" s="183" t="s">
        <v>113</v>
      </c>
      <c r="O119" s="184"/>
    </row>
    <row r="120" spans="3:33">
      <c r="C120" s="57"/>
      <c r="D120" s="185" t="s">
        <v>114</v>
      </c>
      <c r="E120" s="186" t="s">
        <v>115</v>
      </c>
      <c r="F120" s="186" t="s">
        <v>116</v>
      </c>
      <c r="G120" s="186" t="s">
        <v>117</v>
      </c>
      <c r="H120" s="181" t="s">
        <v>118</v>
      </c>
      <c r="I120" s="186"/>
      <c r="O120" s="184"/>
      <c r="P120" s="187"/>
    </row>
    <row r="121" spans="3:33">
      <c r="C121" s="188" t="s">
        <v>119</v>
      </c>
      <c r="D121" s="189">
        <f t="shared" ref="D121:D126" si="3">TRUNC(2425*E121,0)</f>
        <v>5788</v>
      </c>
      <c r="E121" s="190">
        <v>2.387</v>
      </c>
      <c r="F121" s="191">
        <v>2253.7800000000002</v>
      </c>
      <c r="G121" s="192">
        <v>69.31</v>
      </c>
      <c r="H121" s="193">
        <f>(F121*E121*((G121/100+1))*12)+(E121*I121)*12</f>
        <v>116462.92115119201</v>
      </c>
      <c r="I121" s="62">
        <v>250</v>
      </c>
      <c r="O121" s="210"/>
      <c r="P121" s="187"/>
      <c r="Q121" s="179"/>
    </row>
    <row r="122" spans="3:33">
      <c r="C122" s="143" t="s">
        <v>120</v>
      </c>
      <c r="D122" s="189">
        <f t="shared" si="3"/>
        <v>5342</v>
      </c>
      <c r="E122" s="194">
        <f>2.387*0.9229</f>
        <v>2.2029623000000003</v>
      </c>
      <c r="F122" s="191">
        <v>1036.73</v>
      </c>
      <c r="G122" s="11">
        <v>69.31</v>
      </c>
      <c r="H122" s="195">
        <f t="shared" ref="H122:H126" si="4">(F122*E122*((G122/100+1))*12)+(E122*I122)*12</f>
        <v>53010.874823374506</v>
      </c>
      <c r="I122" s="62">
        <v>250</v>
      </c>
      <c r="O122" s="210"/>
      <c r="P122" s="187"/>
      <c r="Q122" s="179"/>
    </row>
    <row r="123" spans="3:33">
      <c r="C123" s="143" t="s">
        <v>121</v>
      </c>
      <c r="D123" s="189">
        <f t="shared" si="3"/>
        <v>324</v>
      </c>
      <c r="E123" s="54">
        <v>0.13389999999999999</v>
      </c>
      <c r="F123" s="191">
        <v>1457.43</v>
      </c>
      <c r="G123" s="15">
        <f>63.62-20</f>
        <v>43.62</v>
      </c>
      <c r="H123" s="195">
        <f t="shared" si="4"/>
        <v>3764.9910401687994</v>
      </c>
      <c r="I123" s="62">
        <v>250</v>
      </c>
      <c r="O123" s="210"/>
      <c r="P123" s="187"/>
      <c r="Q123" s="179"/>
    </row>
    <row r="124" spans="3:33">
      <c r="C124" s="143" t="s">
        <v>122</v>
      </c>
      <c r="D124" s="189">
        <f t="shared" si="3"/>
        <v>632</v>
      </c>
      <c r="E124" s="194">
        <v>0.26100000000000001</v>
      </c>
      <c r="F124" s="191">
        <v>1457.43</v>
      </c>
      <c r="G124" s="15">
        <v>66.92</v>
      </c>
      <c r="H124" s="195">
        <f t="shared" si="4"/>
        <v>8402.3484325920017</v>
      </c>
      <c r="I124" s="62">
        <v>250</v>
      </c>
      <c r="O124" s="210"/>
      <c r="P124" s="187"/>
      <c r="Q124" s="179"/>
    </row>
    <row r="125" spans="3:33">
      <c r="C125" s="143" t="s">
        <v>123</v>
      </c>
      <c r="D125" s="189">
        <f t="shared" si="3"/>
        <v>1818</v>
      </c>
      <c r="E125" s="194">
        <v>0.75</v>
      </c>
      <c r="F125" s="191">
        <v>1338.65</v>
      </c>
      <c r="G125" s="11">
        <f>67-20</f>
        <v>47</v>
      </c>
      <c r="H125" s="195">
        <f t="shared" si="4"/>
        <v>19960.339500000002</v>
      </c>
      <c r="I125" s="62">
        <v>250</v>
      </c>
      <c r="M125" s="6"/>
      <c r="O125" s="210"/>
      <c r="P125" s="187"/>
      <c r="Q125" s="179"/>
    </row>
    <row r="126" spans="3:33">
      <c r="C126" s="151" t="s">
        <v>124</v>
      </c>
      <c r="D126" s="189">
        <f t="shared" si="3"/>
        <v>218</v>
      </c>
      <c r="E126" s="196">
        <v>0.09</v>
      </c>
      <c r="F126" s="191">
        <v>2253.7800000000002</v>
      </c>
      <c r="G126" s="197">
        <f>67-20</f>
        <v>47</v>
      </c>
      <c r="H126" s="198">
        <f t="shared" si="4"/>
        <v>3848.1011280000002</v>
      </c>
      <c r="I126" s="62">
        <v>250</v>
      </c>
      <c r="M126" s="6"/>
      <c r="O126" s="210"/>
      <c r="P126" s="179"/>
      <c r="Q126" s="179"/>
    </row>
    <row r="127" spans="3:33">
      <c r="C127" s="75" t="s">
        <v>20</v>
      </c>
      <c r="D127" s="199">
        <f>SUM(D121:D126)</f>
        <v>14122</v>
      </c>
      <c r="E127" s="200"/>
      <c r="F127" s="200"/>
      <c r="G127" s="201"/>
      <c r="H127" s="202">
        <f>SUM(H121:H126)</f>
        <v>205449.57607532732</v>
      </c>
      <c r="I127" s="285"/>
      <c r="M127" s="6"/>
      <c r="O127" s="5"/>
    </row>
    <row r="128" spans="3:33">
      <c r="K128" s="5"/>
      <c r="L128" s="5"/>
      <c r="M128" s="327"/>
      <c r="N128" s="5"/>
    </row>
    <row r="129" spans="3:16">
      <c r="C129" s="203" t="s">
        <v>125</v>
      </c>
      <c r="D129" s="204" t="s">
        <v>126</v>
      </c>
      <c r="E129" s="205" t="s">
        <v>2</v>
      </c>
      <c r="F129" s="205" t="s">
        <v>127</v>
      </c>
      <c r="H129" s="206"/>
      <c r="J129" s="5"/>
      <c r="K129" s="5"/>
      <c r="L129" s="5"/>
      <c r="M129" s="327"/>
      <c r="N129" s="5"/>
    </row>
    <row r="130" spans="3:16">
      <c r="C130" s="207" t="s">
        <v>107</v>
      </c>
      <c r="D130" s="208">
        <f>H127</f>
        <v>205449.57607532732</v>
      </c>
      <c r="E130" s="209"/>
      <c r="F130" s="209"/>
      <c r="H130" s="210"/>
      <c r="K130" s="5"/>
      <c r="L130" s="5"/>
      <c r="M130" s="327"/>
      <c r="N130" s="211"/>
    </row>
    <row r="131" spans="3:16">
      <c r="C131" s="212" t="s">
        <v>128</v>
      </c>
      <c r="D131" s="167">
        <f>D130*E131/100</f>
        <v>28064.412091889713</v>
      </c>
      <c r="E131" s="54">
        <v>13.66</v>
      </c>
      <c r="F131" s="213"/>
      <c r="H131" s="210"/>
      <c r="K131" s="5"/>
      <c r="L131" s="5"/>
      <c r="M131" s="327"/>
      <c r="N131" s="211"/>
      <c r="P131" s="179"/>
    </row>
    <row r="132" spans="3:16">
      <c r="C132" s="212" t="s">
        <v>129</v>
      </c>
      <c r="D132" s="167">
        <f>I23*F132/100</f>
        <v>4003.512247806691</v>
      </c>
      <c r="E132" s="213"/>
      <c r="F132" s="214">
        <v>1.2</v>
      </c>
      <c r="H132" s="210"/>
      <c r="K132" s="328"/>
      <c r="L132" s="328"/>
      <c r="M132" s="329"/>
      <c r="N132" s="211"/>
    </row>
    <row r="133" spans="3:16">
      <c r="C133" s="212" t="s">
        <v>130</v>
      </c>
      <c r="D133" s="167">
        <f>((E121*1.04)+(E122*1.04)+(E124*1.01))*143.3</f>
        <v>721.82657449360011</v>
      </c>
      <c r="E133" s="213"/>
      <c r="F133" s="213"/>
      <c r="H133" s="210"/>
      <c r="K133" s="328"/>
      <c r="L133" s="328"/>
      <c r="M133" s="329"/>
      <c r="N133" s="211"/>
    </row>
    <row r="134" spans="3:16">
      <c r="C134" s="212" t="s">
        <v>131</v>
      </c>
      <c r="D134" s="167">
        <v>251.33</v>
      </c>
      <c r="E134" s="213"/>
      <c r="F134" s="213"/>
      <c r="H134" s="210"/>
      <c r="K134" s="328"/>
      <c r="L134" s="328"/>
      <c r="M134" s="329"/>
      <c r="N134" s="211"/>
    </row>
    <row r="135" spans="3:16">
      <c r="C135" s="212" t="s">
        <v>132</v>
      </c>
      <c r="D135" s="167">
        <v>0</v>
      </c>
      <c r="E135" s="213"/>
      <c r="F135" s="213"/>
      <c r="H135" s="210"/>
      <c r="K135" s="328"/>
      <c r="L135" s="328"/>
      <c r="M135" s="329"/>
      <c r="N135" s="211"/>
    </row>
    <row r="136" spans="3:16">
      <c r="C136" s="212" t="s">
        <v>133</v>
      </c>
      <c r="D136" s="195">
        <f>D152/$D$89</f>
        <v>0</v>
      </c>
      <c r="E136" s="213"/>
      <c r="F136" s="213"/>
      <c r="H136" s="210"/>
      <c r="K136" s="328"/>
      <c r="L136" s="328"/>
      <c r="M136" s="16"/>
      <c r="N136" s="211"/>
    </row>
    <row r="137" spans="3:16">
      <c r="C137" s="212" t="s">
        <v>134</v>
      </c>
      <c r="D137" s="195">
        <f>D153/$D$89</f>
        <v>0</v>
      </c>
      <c r="E137" s="213"/>
      <c r="F137" s="213"/>
      <c r="H137" s="210"/>
      <c r="K137" s="328"/>
      <c r="L137" s="328"/>
      <c r="M137" s="16"/>
      <c r="N137" s="211"/>
    </row>
    <row r="138" spans="3:16">
      <c r="C138" s="212" t="s">
        <v>179</v>
      </c>
      <c r="D138" s="195">
        <f>D154/$D$89</f>
        <v>0</v>
      </c>
      <c r="E138" s="213"/>
      <c r="F138" s="213"/>
      <c r="H138" s="210"/>
      <c r="K138" s="328"/>
      <c r="L138" s="328"/>
      <c r="M138" s="16"/>
      <c r="N138" s="211"/>
    </row>
    <row r="139" spans="3:16">
      <c r="C139" s="212" t="s">
        <v>180</v>
      </c>
      <c r="D139" s="195">
        <f>D155/$D$89</f>
        <v>0</v>
      </c>
      <c r="E139" s="213"/>
      <c r="F139" s="213"/>
      <c r="H139" s="210"/>
      <c r="K139" s="328"/>
      <c r="L139" s="328"/>
      <c r="M139" s="16"/>
      <c r="N139" s="211"/>
    </row>
    <row r="140" spans="3:16">
      <c r="C140" s="75" t="s">
        <v>20</v>
      </c>
      <c r="D140" s="215">
        <f>SUM(D130:D139)</f>
        <v>238490.6569895173</v>
      </c>
      <c r="E140" s="216"/>
      <c r="F140" s="216"/>
      <c r="H140" s="210"/>
      <c r="K140" s="5"/>
      <c r="L140" s="5"/>
      <c r="M140" s="5"/>
      <c r="N140" s="211"/>
    </row>
    <row r="141" spans="3:16">
      <c r="C141" s="206"/>
      <c r="D141" s="158"/>
      <c r="E141" s="210"/>
      <c r="F141" s="210"/>
      <c r="G141" s="210"/>
      <c r="H141" s="210"/>
      <c r="I141" s="210"/>
      <c r="K141" s="5"/>
      <c r="L141" s="5"/>
      <c r="M141" s="5"/>
      <c r="N141" s="5"/>
    </row>
    <row r="142" spans="3:16" ht="20.25">
      <c r="C142" s="310" t="s">
        <v>177</v>
      </c>
      <c r="D142" s="310"/>
      <c r="E142" s="217"/>
      <c r="F142" s="217"/>
      <c r="G142" s="217"/>
      <c r="H142" s="217"/>
      <c r="I142" s="286"/>
      <c r="J142" s="286"/>
      <c r="K142" s="5"/>
      <c r="L142" s="5"/>
      <c r="M142" s="5"/>
      <c r="N142" s="5"/>
    </row>
    <row r="143" spans="3:16" ht="27.75" hidden="1">
      <c r="C143" s="218"/>
      <c r="D143" s="330">
        <v>537266.80000000005</v>
      </c>
      <c r="E143" s="218">
        <f>100-(5.3+3)</f>
        <v>91.7</v>
      </c>
      <c r="F143" s="218"/>
      <c r="G143" s="218"/>
      <c r="H143" s="218"/>
      <c r="I143" s="218"/>
      <c r="J143" s="218"/>
      <c r="K143" s="5"/>
      <c r="L143" s="5"/>
      <c r="M143" s="5"/>
      <c r="N143" s="5"/>
    </row>
    <row r="144" spans="3:16" ht="20.100000000000001" hidden="1" customHeight="1">
      <c r="C144" s="331"/>
      <c r="D144" s="331"/>
      <c r="E144" s="331"/>
      <c r="F144" s="331"/>
      <c r="G144" s="331"/>
      <c r="H144" s="331"/>
      <c r="I144" s="331"/>
      <c r="J144" s="331"/>
      <c r="K144" s="16"/>
      <c r="L144" s="16"/>
      <c r="M144" s="5"/>
      <c r="N144" s="5"/>
    </row>
    <row r="145" spans="3:15" ht="20.100000000000001" customHeight="1">
      <c r="C145" s="219"/>
      <c r="D145" s="219"/>
      <c r="G145" s="224"/>
      <c r="H145" s="224"/>
      <c r="I145" s="332"/>
      <c r="J145" s="333"/>
      <c r="K145" s="16"/>
      <c r="L145" s="16"/>
      <c r="M145" s="5"/>
      <c r="N145" s="5"/>
    </row>
    <row r="146" spans="3:15" s="336" customFormat="1" ht="20.100000000000001" customHeight="1">
      <c r="C146" s="220" t="s">
        <v>135</v>
      </c>
      <c r="D146" s="221">
        <v>204134683.71000001</v>
      </c>
      <c r="E146" s="334"/>
      <c r="F146" s="334"/>
      <c r="G146" s="224"/>
      <c r="H146" s="224"/>
      <c r="I146" s="335"/>
      <c r="J146" s="333"/>
      <c r="K146" s="16"/>
      <c r="L146" s="16"/>
    </row>
    <row r="147" spans="3:15" ht="21.95" customHeight="1">
      <c r="C147" s="220" t="s">
        <v>136</v>
      </c>
      <c r="D147" s="221">
        <v>307760994</v>
      </c>
      <c r="E147" s="337"/>
      <c r="F147" s="338"/>
      <c r="G147" s="224"/>
      <c r="H147" s="226"/>
      <c r="I147" s="335"/>
      <c r="J147" s="336"/>
      <c r="K147" s="16"/>
      <c r="L147" s="16"/>
      <c r="M147" s="336"/>
      <c r="N147" s="336"/>
    </row>
    <row r="148" spans="3:15" ht="21.95" customHeight="1">
      <c r="C148" s="220" t="s">
        <v>137</v>
      </c>
      <c r="D148" s="222">
        <f>D147/D146</f>
        <v>1.5076369601023543</v>
      </c>
      <c r="E148" s="269"/>
      <c r="F148" s="269"/>
      <c r="G148" s="224"/>
      <c r="H148" s="226"/>
      <c r="I148" s="335"/>
      <c r="J148" s="333"/>
      <c r="K148" s="16"/>
      <c r="L148" s="16"/>
      <c r="M148" s="336"/>
      <c r="N148" s="336"/>
    </row>
    <row r="149" spans="3:15" ht="24.95" customHeight="1">
      <c r="C149" s="220" t="s">
        <v>138</v>
      </c>
      <c r="D149" s="223">
        <f>D146/2425</f>
        <v>84179.251014432986</v>
      </c>
      <c r="E149" s="224"/>
      <c r="F149" s="224"/>
      <c r="G149" s="224"/>
      <c r="H149" s="224"/>
      <c r="I149" s="335"/>
      <c r="J149" s="339"/>
      <c r="K149" s="16"/>
      <c r="L149" s="16"/>
      <c r="M149" s="336"/>
      <c r="N149" s="336"/>
    </row>
    <row r="150" spans="3:15" ht="24.95" customHeight="1">
      <c r="C150" s="220" t="s">
        <v>139</v>
      </c>
      <c r="D150" s="221">
        <v>361678166</v>
      </c>
      <c r="E150" s="224"/>
      <c r="F150" s="224"/>
      <c r="G150" s="224"/>
      <c r="H150" s="224"/>
      <c r="I150" s="335"/>
      <c r="J150" s="340"/>
      <c r="K150" s="336"/>
      <c r="L150" s="336"/>
      <c r="M150" s="336"/>
      <c r="N150" s="336"/>
      <c r="O150" s="336"/>
    </row>
    <row r="151" spans="3:15" ht="24.95" customHeight="1">
      <c r="C151" s="220" t="s">
        <v>140</v>
      </c>
      <c r="D151" s="225">
        <f>(D135*2425)</f>
        <v>0</v>
      </c>
      <c r="E151" s="226"/>
      <c r="F151" s="224"/>
      <c r="G151" s="224"/>
      <c r="H151" s="224"/>
      <c r="I151" s="341"/>
      <c r="J151" s="339"/>
      <c r="K151" s="335"/>
      <c r="L151" s="335"/>
      <c r="M151" s="336"/>
      <c r="N151" s="336"/>
      <c r="O151" s="336"/>
    </row>
    <row r="152" spans="3:15" ht="24.95" customHeight="1">
      <c r="C152" s="220" t="s">
        <v>141</v>
      </c>
      <c r="D152" s="225">
        <v>0</v>
      </c>
      <c r="E152" s="227"/>
      <c r="F152" s="228"/>
      <c r="G152" s="227"/>
      <c r="H152" s="224"/>
      <c r="I152" s="341"/>
      <c r="J152" s="339"/>
      <c r="K152" s="335"/>
      <c r="L152" s="335"/>
      <c r="M152" s="336"/>
      <c r="N152" s="336"/>
      <c r="O152" s="336"/>
    </row>
    <row r="153" spans="3:15" ht="24.95" customHeight="1">
      <c r="C153" s="220" t="s">
        <v>142</v>
      </c>
      <c r="D153" s="225">
        <v>0</v>
      </c>
      <c r="E153" s="227"/>
      <c r="F153" s="229"/>
      <c r="G153" s="224"/>
      <c r="H153" s="224"/>
      <c r="I153" s="341"/>
      <c r="J153" s="339"/>
      <c r="K153" s="335"/>
      <c r="L153" s="335"/>
      <c r="M153" s="336"/>
      <c r="N153" s="336"/>
      <c r="O153" s="336"/>
    </row>
    <row r="154" spans="3:15" ht="24.95" customHeight="1">
      <c r="C154" s="220" t="s">
        <v>143</v>
      </c>
      <c r="D154" s="225">
        <v>0</v>
      </c>
      <c r="E154" s="224"/>
      <c r="F154" s="224"/>
      <c r="G154" s="224"/>
      <c r="H154" s="224"/>
      <c r="I154" s="341"/>
      <c r="J154" s="339"/>
      <c r="K154" s="335"/>
      <c r="L154" s="335"/>
      <c r="M154" s="336"/>
      <c r="N154" s="336"/>
      <c r="O154" s="336"/>
    </row>
    <row r="155" spans="3:15" ht="24.95" customHeight="1">
      <c r="C155" s="220" t="s">
        <v>144</v>
      </c>
      <c r="D155" s="225">
        <v>0</v>
      </c>
      <c r="E155" s="224"/>
      <c r="F155" s="224"/>
      <c r="G155" s="224"/>
      <c r="H155" s="224"/>
      <c r="I155" s="341"/>
      <c r="J155" s="339"/>
      <c r="K155" s="335"/>
      <c r="L155" s="335"/>
      <c r="M155" s="336"/>
      <c r="N155" s="336"/>
      <c r="O155" s="336"/>
    </row>
    <row r="156" spans="3:15" ht="24.95" customHeight="1">
      <c r="C156" s="220" t="s">
        <v>145</v>
      </c>
      <c r="D156" s="230">
        <v>103857019</v>
      </c>
      <c r="E156" s="224"/>
      <c r="F156" s="224"/>
      <c r="G156" s="336"/>
      <c r="H156" s="336"/>
      <c r="I156" s="224"/>
      <c r="J156" s="335"/>
      <c r="K156" s="335"/>
      <c r="L156" s="335"/>
      <c r="M156" s="336"/>
      <c r="N156" s="336"/>
      <c r="O156" s="336"/>
    </row>
    <row r="157" spans="3:15" ht="24.95" hidden="1" customHeight="1">
      <c r="C157" s="231" t="s">
        <v>146</v>
      </c>
      <c r="D157" s="232">
        <v>2.7515999999999998</v>
      </c>
      <c r="E157" s="239"/>
      <c r="F157" s="239"/>
      <c r="G157" s="240"/>
      <c r="H157" s="240"/>
      <c r="I157" s="342"/>
      <c r="J157" s="336"/>
      <c r="K157" s="336"/>
      <c r="L157" s="336"/>
      <c r="M157" s="336"/>
      <c r="N157" s="336"/>
      <c r="O157" s="336"/>
    </row>
    <row r="158" spans="3:15" ht="24.95" customHeight="1">
      <c r="C158" s="220" t="s">
        <v>147</v>
      </c>
      <c r="D158" s="233">
        <f>I26</f>
        <v>1.6353161131814682</v>
      </c>
      <c r="E158" s="343">
        <f>(D158/$D$163)</f>
        <v>0.30270911269949768</v>
      </c>
      <c r="F158" s="343"/>
      <c r="G158" s="342"/>
      <c r="H158" s="342"/>
      <c r="I158" s="239"/>
      <c r="J158" s="222"/>
      <c r="K158" s="336"/>
      <c r="L158" s="336"/>
      <c r="M158" s="336"/>
      <c r="N158" s="336"/>
      <c r="O158" s="336"/>
    </row>
    <row r="159" spans="3:15" ht="24.95" customHeight="1">
      <c r="C159" s="220" t="s">
        <v>148</v>
      </c>
      <c r="D159" s="234">
        <f>D100/(D149)</f>
        <v>0.78931361699867097</v>
      </c>
      <c r="E159" s="343">
        <f>(D159/$D$163)</f>
        <v>0.14610779085302444</v>
      </c>
      <c r="F159" s="343"/>
      <c r="G159" s="342"/>
      <c r="H159" s="342"/>
      <c r="I159" s="239"/>
      <c r="J159" s="344"/>
      <c r="K159" s="339"/>
      <c r="L159" s="339"/>
      <c r="M159" s="336"/>
      <c r="N159" s="336"/>
      <c r="O159" s="336"/>
    </row>
    <row r="160" spans="3:15" ht="24.95" customHeight="1">
      <c r="C160" s="220" t="s">
        <v>149</v>
      </c>
      <c r="D160" s="233">
        <f>D140/D149</f>
        <v>2.8331287593498162</v>
      </c>
      <c r="E160" s="343">
        <f>(D160/$D$163)</f>
        <v>0.52443309644747782</v>
      </c>
      <c r="F160" s="343"/>
      <c r="G160" s="342"/>
      <c r="H160" s="342"/>
      <c r="I160" s="239"/>
      <c r="J160" s="341"/>
      <c r="K160" s="339"/>
      <c r="L160" s="339"/>
      <c r="M160" s="336"/>
      <c r="N160" s="336"/>
      <c r="O160" s="336"/>
    </row>
    <row r="161" spans="3:15" ht="24.95" customHeight="1">
      <c r="C161" s="220" t="s">
        <v>150</v>
      </c>
      <c r="D161" s="233">
        <f>(SUM(D158:D160)/0.97325)-SUM(D158:D160)</f>
        <v>0.14451070084246265</v>
      </c>
      <c r="E161" s="345">
        <f>(D161/$D$163)</f>
        <v>2.6750000000000086E-2</v>
      </c>
      <c r="F161" s="345"/>
      <c r="G161" s="240"/>
      <c r="H161" s="240"/>
      <c r="I161" s="342"/>
      <c r="J161" s="222"/>
      <c r="K161" s="346"/>
      <c r="L161" s="347"/>
      <c r="M161" s="336"/>
      <c r="N161" s="336"/>
      <c r="O161" s="336"/>
    </row>
    <row r="162" spans="3:15" ht="24.95" customHeight="1">
      <c r="C162" s="220"/>
      <c r="D162" s="233"/>
      <c r="E162" s="345"/>
      <c r="F162" s="345"/>
      <c r="G162" s="240"/>
      <c r="H162" s="240"/>
      <c r="I162" s="342"/>
      <c r="J162" s="222"/>
      <c r="K162" s="346"/>
      <c r="L162" s="347"/>
      <c r="M162" s="336"/>
      <c r="N162" s="336"/>
      <c r="O162" s="336"/>
    </row>
    <row r="163" spans="3:15" ht="24.95" customHeight="1">
      <c r="C163" s="235" t="s">
        <v>151</v>
      </c>
      <c r="D163" s="236">
        <f>SUM(D158:D161)</f>
        <v>5.4022691903724178</v>
      </c>
      <c r="E163" s="348">
        <f>SUM(E158:E161)</f>
        <v>1</v>
      </c>
      <c r="F163" s="348"/>
      <c r="G163" s="349"/>
      <c r="H163" s="349"/>
      <c r="I163" s="239"/>
      <c r="J163" s="224"/>
      <c r="K163" s="350"/>
      <c r="L163" s="350"/>
      <c r="M163" s="336"/>
      <c r="N163" s="336"/>
      <c r="O163" s="336"/>
    </row>
    <row r="164" spans="3:15" ht="24.95" hidden="1" customHeight="1">
      <c r="C164" s="237" t="s">
        <v>152</v>
      </c>
      <c r="D164" s="238">
        <f>(D163/D157)-1</f>
        <v>0.96331922894767352</v>
      </c>
      <c r="E164" s="351"/>
      <c r="F164" s="351"/>
      <c r="G164" s="240"/>
      <c r="H164" s="240"/>
      <c r="I164" s="352"/>
      <c r="J164" s="353"/>
      <c r="K164" s="354"/>
      <c r="L164" s="354"/>
      <c r="M164" s="336"/>
      <c r="N164" s="336"/>
      <c r="O164" s="336"/>
    </row>
    <row r="165" spans="3:15" ht="24.95" customHeight="1">
      <c r="C165" s="239"/>
      <c r="D165" s="240"/>
      <c r="E165" s="224"/>
      <c r="F165" s="224"/>
      <c r="G165" s="335"/>
      <c r="H165" s="335"/>
      <c r="I165" s="353"/>
      <c r="J165" s="353"/>
      <c r="K165" s="336"/>
      <c r="L165" s="336"/>
      <c r="M165" s="336"/>
      <c r="N165" s="336"/>
      <c r="O165" s="336"/>
    </row>
    <row r="166" spans="3:15" ht="37.5" customHeight="1">
      <c r="C166" s="241" t="s">
        <v>153</v>
      </c>
      <c r="D166" s="242">
        <f>D163/D148</f>
        <v>3.5832692706111788</v>
      </c>
      <c r="E166" s="224"/>
      <c r="F166" s="224"/>
      <c r="G166" s="335"/>
      <c r="H166" s="335"/>
      <c r="I166" s="353"/>
      <c r="J166" s="226"/>
      <c r="K166" s="336"/>
      <c r="L166" s="336"/>
      <c r="M166" s="336"/>
      <c r="N166" s="336"/>
      <c r="O166" s="336"/>
    </row>
    <row r="167" spans="3:15" ht="33" customHeight="1">
      <c r="C167" s="237" t="s">
        <v>154</v>
      </c>
      <c r="D167" s="243">
        <v>3.3466999999999998</v>
      </c>
      <c r="E167" s="224"/>
      <c r="F167" s="224"/>
      <c r="G167" s="224"/>
      <c r="H167" s="224"/>
      <c r="I167" s="353"/>
      <c r="J167" s="355"/>
      <c r="K167" s="336"/>
      <c r="L167" s="336"/>
      <c r="M167" s="336"/>
      <c r="N167" s="336"/>
      <c r="O167" s="336"/>
    </row>
    <row r="168" spans="3:15" ht="32.25" customHeight="1">
      <c r="C168" s="244" t="s">
        <v>155</v>
      </c>
      <c r="D168" s="245">
        <f>(D166/D167)</f>
        <v>1.0706873250100635</v>
      </c>
      <c r="E168" s="224"/>
      <c r="F168" s="224"/>
      <c r="G168" s="224"/>
      <c r="H168" s="224"/>
      <c r="I168" s="353"/>
      <c r="J168" s="224"/>
      <c r="K168" s="336"/>
      <c r="L168" s="336"/>
      <c r="M168" s="336"/>
      <c r="N168" s="336"/>
      <c r="O168" s="336"/>
    </row>
    <row r="169" spans="3:15" ht="17.25" customHeight="1">
      <c r="C169" s="237"/>
      <c r="D169" s="246"/>
      <c r="E169" s="224"/>
      <c r="F169" s="224"/>
      <c r="G169" s="224"/>
      <c r="H169" s="239"/>
      <c r="I169" s="353"/>
      <c r="J169" s="224"/>
      <c r="K169" s="336"/>
      <c r="L169" s="336"/>
      <c r="M169" s="336"/>
      <c r="N169" s="336"/>
      <c r="O169" s="336"/>
    </row>
    <row r="170" spans="3:15" ht="21.95" customHeight="1">
      <c r="C170" s="311" t="s">
        <v>178</v>
      </c>
      <c r="D170" s="311"/>
      <c r="E170" s="311"/>
      <c r="F170" s="311"/>
      <c r="G170" s="311"/>
      <c r="H170" s="311"/>
      <c r="I170" s="247"/>
      <c r="J170" s="247"/>
      <c r="K170" s="247"/>
    </row>
    <row r="171" spans="3:15" ht="46.5" customHeight="1">
      <c r="C171" s="305" t="s">
        <v>156</v>
      </c>
      <c r="D171" s="305" t="s">
        <v>157</v>
      </c>
      <c r="E171" s="305"/>
      <c r="F171" s="279" t="s">
        <v>158</v>
      </c>
      <c r="G171" s="305" t="s">
        <v>159</v>
      </c>
      <c r="H171" s="305" t="s">
        <v>160</v>
      </c>
      <c r="I171" s="356"/>
    </row>
    <row r="172" spans="3:15" ht="32.25" customHeight="1">
      <c r="C172" s="305"/>
      <c r="D172" s="279">
        <v>2017</v>
      </c>
      <c r="E172" s="279">
        <v>2019</v>
      </c>
      <c r="F172" s="279" t="s">
        <v>161</v>
      </c>
      <c r="G172" s="305"/>
      <c r="H172" s="305"/>
      <c r="I172" s="356"/>
    </row>
    <row r="173" spans="3:15" ht="33.75" customHeight="1">
      <c r="C173" s="248" t="s">
        <v>162</v>
      </c>
      <c r="D173" s="249">
        <v>3.2037</v>
      </c>
      <c r="E173" s="250">
        <f>D173*$D$168</f>
        <v>3.4301609831347402</v>
      </c>
      <c r="F173" s="250">
        <v>3.45</v>
      </c>
      <c r="G173" s="251">
        <f>(E173/D173)-1</f>
        <v>7.0687325010063473E-2</v>
      </c>
      <c r="H173" s="251">
        <v>0.85319999999999996</v>
      </c>
      <c r="I173" s="357"/>
    </row>
    <row r="174" spans="3:15" ht="29.25" customHeight="1">
      <c r="C174" s="248" t="s">
        <v>163</v>
      </c>
      <c r="D174" s="249">
        <v>4.3796999999999997</v>
      </c>
      <c r="E174" s="250">
        <f>D174*$D$168</f>
        <v>4.6892892773465746</v>
      </c>
      <c r="F174" s="250">
        <v>4.7</v>
      </c>
      <c r="G174" s="251">
        <f>(E174/D174)-1</f>
        <v>7.0687325010063473E-2</v>
      </c>
      <c r="H174" s="251">
        <v>0.13730000000000001</v>
      </c>
      <c r="I174" s="357"/>
    </row>
    <row r="175" spans="3:15" ht="30" customHeight="1">
      <c r="C175" s="248" t="s">
        <v>164</v>
      </c>
      <c r="D175" s="249">
        <v>3.4575</v>
      </c>
      <c r="E175" s="250">
        <v>0</v>
      </c>
      <c r="F175" s="250">
        <v>0</v>
      </c>
      <c r="G175" s="251">
        <v>0</v>
      </c>
      <c r="H175" s="251">
        <v>0</v>
      </c>
      <c r="I175" s="357"/>
    </row>
    <row r="176" spans="3:15" ht="30" customHeight="1">
      <c r="C176" s="248" t="s">
        <v>165</v>
      </c>
      <c r="D176" s="249">
        <v>2.1025999999999998</v>
      </c>
      <c r="E176" s="250">
        <f>D176*$D$168</f>
        <v>2.2512271695661594</v>
      </c>
      <c r="F176" s="250">
        <v>2.25</v>
      </c>
      <c r="G176" s="251">
        <f>(E176/D176)-1</f>
        <v>7.0687325010063473E-2</v>
      </c>
      <c r="H176" s="251">
        <v>9.4999999999999998E-3</v>
      </c>
      <c r="I176" s="357"/>
    </row>
    <row r="177" spans="3:13" ht="18" customHeight="1">
      <c r="C177" s="252"/>
      <c r="D177" s="253"/>
      <c r="E177" s="254"/>
      <c r="F177" s="254"/>
      <c r="G177" s="255"/>
      <c r="H177" s="255"/>
      <c r="I177" s="357"/>
    </row>
    <row r="178" spans="3:13" ht="30" customHeight="1">
      <c r="C178" s="306" t="s">
        <v>175</v>
      </c>
      <c r="D178" s="306"/>
      <c r="E178" s="306"/>
      <c r="F178" s="306"/>
      <c r="G178" s="306"/>
      <c r="H178" s="256">
        <f>D166</f>
        <v>3.5832692706111788</v>
      </c>
      <c r="I178" s="357"/>
    </row>
    <row r="179" spans="3:13" ht="17.25" customHeight="1">
      <c r="C179" s="252"/>
      <c r="D179" s="257"/>
      <c r="E179" s="258"/>
      <c r="F179" s="258"/>
      <c r="G179" s="258"/>
      <c r="H179" s="258"/>
      <c r="I179" s="265"/>
      <c r="J179" s="259"/>
    </row>
    <row r="180" spans="3:13" ht="35.1" customHeight="1">
      <c r="C180" s="260" t="s">
        <v>166</v>
      </c>
      <c r="D180" s="261">
        <v>1.5688</v>
      </c>
      <c r="E180" s="262">
        <f>D180*D168</f>
        <v>1.6796942754757875</v>
      </c>
      <c r="F180" s="263"/>
      <c r="G180" s="264"/>
      <c r="H180" s="262">
        <f>D180*H169</f>
        <v>0</v>
      </c>
      <c r="I180" s="265"/>
      <c r="J180" s="259"/>
    </row>
    <row r="181" spans="3:13" ht="34.5" customHeight="1">
      <c r="C181" s="260" t="s">
        <v>167</v>
      </c>
      <c r="D181" s="261">
        <v>2.2225000000000001</v>
      </c>
      <c r="E181" s="262">
        <f>D181*D168</f>
        <v>2.3796025798348661</v>
      </c>
      <c r="F181" s="263"/>
      <c r="G181" s="266"/>
      <c r="H181" s="262">
        <f>D181*H169</f>
        <v>0</v>
      </c>
      <c r="I181" s="267"/>
      <c r="J181" s="268"/>
    </row>
    <row r="182" spans="3:13" ht="17.25" customHeight="1">
      <c r="C182" s="273"/>
      <c r="D182" s="273"/>
      <c r="E182" s="273"/>
      <c r="F182" s="273"/>
      <c r="G182" s="273"/>
      <c r="H182" s="358"/>
      <c r="I182" s="359"/>
    </row>
    <row r="183" spans="3:13" ht="30" customHeight="1">
      <c r="C183" s="306" t="s">
        <v>175</v>
      </c>
      <c r="D183" s="306"/>
      <c r="E183" s="306"/>
      <c r="F183" s="306"/>
      <c r="G183" s="306"/>
      <c r="H183" s="256">
        <f>D166</f>
        <v>3.5832692706111788</v>
      </c>
      <c r="J183" s="269"/>
      <c r="M183" s="360"/>
    </row>
    <row r="184" spans="3:13" ht="14.25" customHeight="1">
      <c r="C184" s="252"/>
      <c r="D184" s="270"/>
      <c r="E184" s="270"/>
      <c r="F184" s="270"/>
      <c r="G184" s="271"/>
      <c r="H184" s="361"/>
      <c r="I184" s="362"/>
      <c r="J184" s="272"/>
      <c r="M184" s="360"/>
    </row>
    <row r="185" spans="3:13" ht="23.25" customHeight="1">
      <c r="C185" s="312" t="s">
        <v>168</v>
      </c>
      <c r="D185" s="312"/>
      <c r="E185" s="312"/>
      <c r="F185" s="312"/>
      <c r="G185" s="312"/>
      <c r="H185" s="256">
        <f>D167</f>
        <v>3.3466999999999998</v>
      </c>
      <c r="J185" s="272"/>
      <c r="M185" s="360"/>
    </row>
    <row r="186" spans="3:13" ht="11.25" customHeight="1">
      <c r="C186" s="273"/>
      <c r="D186" s="273"/>
      <c r="E186" s="363"/>
      <c r="F186" s="363"/>
      <c r="G186" s="271"/>
      <c r="H186" s="273"/>
      <c r="I186" s="364"/>
      <c r="J186" s="272"/>
      <c r="M186" s="360"/>
    </row>
    <row r="187" spans="3:13" ht="23.25" customHeight="1">
      <c r="C187" s="312" t="s">
        <v>169</v>
      </c>
      <c r="D187" s="312"/>
      <c r="E187" s="312"/>
      <c r="F187" s="312"/>
      <c r="G187" s="312"/>
      <c r="H187" s="274">
        <f>((H183/H185)-1)*100</f>
        <v>7.0687325010063473</v>
      </c>
      <c r="J187" s="272"/>
      <c r="M187" s="360"/>
    </row>
    <row r="188" spans="3:13" ht="15" customHeight="1">
      <c r="C188" s="271"/>
      <c r="D188" s="271"/>
      <c r="E188" s="365"/>
      <c r="F188" s="365"/>
      <c r="G188" s="365"/>
      <c r="H188" s="365"/>
      <c r="I188" s="366"/>
      <c r="J188" s="366"/>
      <c r="K188" s="272"/>
      <c r="L188" s="272"/>
    </row>
    <row r="189" spans="3:13">
      <c r="E189" s="52"/>
      <c r="F189" s="52"/>
      <c r="G189" s="52"/>
      <c r="H189" s="52"/>
      <c r="I189" s="52"/>
      <c r="J189" s="52"/>
    </row>
    <row r="190" spans="3:13">
      <c r="E190" s="52"/>
      <c r="F190" s="52"/>
      <c r="G190" s="52"/>
      <c r="H190" s="367"/>
      <c r="I190" s="52"/>
      <c r="J190" s="52"/>
    </row>
    <row r="191" spans="3:13">
      <c r="E191" s="52"/>
      <c r="F191" s="52"/>
      <c r="G191" s="52"/>
      <c r="H191" s="52"/>
      <c r="I191" s="52"/>
      <c r="J191" s="52"/>
    </row>
    <row r="192" spans="3:13">
      <c r="E192" s="52"/>
      <c r="F192" s="52"/>
      <c r="G192" s="52"/>
      <c r="H192" s="367"/>
      <c r="I192" s="52"/>
      <c r="J192" s="52"/>
    </row>
    <row r="193" spans="5:10">
      <c r="E193" s="52"/>
      <c r="F193" s="52"/>
      <c r="G193" s="52"/>
      <c r="H193" s="367"/>
      <c r="I193" s="52"/>
      <c r="J193" s="52"/>
    </row>
    <row r="194" spans="5:10">
      <c r="E194" s="52"/>
      <c r="F194" s="52"/>
      <c r="G194" s="52"/>
      <c r="H194" s="367"/>
      <c r="I194" s="52"/>
      <c r="J194" s="52"/>
    </row>
    <row r="195" spans="5:10">
      <c r="E195" s="52"/>
      <c r="F195" s="52"/>
      <c r="G195" s="52"/>
      <c r="H195" s="52"/>
      <c r="I195" s="52"/>
      <c r="J195" s="52"/>
    </row>
  </sheetData>
  <mergeCells count="49">
    <mergeCell ref="C183:G183"/>
    <mergeCell ref="C185:G185"/>
    <mergeCell ref="C187:G187"/>
    <mergeCell ref="C171:C172"/>
    <mergeCell ref="D171:E171"/>
    <mergeCell ref="G171:G172"/>
    <mergeCell ref="H171:H172"/>
    <mergeCell ref="C178:G178"/>
    <mergeCell ref="C98:D98"/>
    <mergeCell ref="C107:E107"/>
    <mergeCell ref="C118:I118"/>
    <mergeCell ref="C142:D142"/>
    <mergeCell ref="C170:H170"/>
    <mergeCell ref="C39:G39"/>
    <mergeCell ref="C41:I41"/>
    <mergeCell ref="C53:J53"/>
    <mergeCell ref="C54:C55"/>
    <mergeCell ref="C75:D75"/>
    <mergeCell ref="C33:G33"/>
    <mergeCell ref="C35:I35"/>
    <mergeCell ref="C36:G36"/>
    <mergeCell ref="C37:G37"/>
    <mergeCell ref="C38:G38"/>
    <mergeCell ref="C26:G26"/>
    <mergeCell ref="C28:I28"/>
    <mergeCell ref="C29:G29"/>
    <mergeCell ref="C31:G31"/>
    <mergeCell ref="C32:G32"/>
    <mergeCell ref="G19:I19"/>
    <mergeCell ref="G20:I20"/>
    <mergeCell ref="G21:I21"/>
    <mergeCell ref="C23:G23"/>
    <mergeCell ref="C24:G24"/>
    <mergeCell ref="G13:I13"/>
    <mergeCell ref="G14:I14"/>
    <mergeCell ref="G15:I15"/>
    <mergeCell ref="G17:I17"/>
    <mergeCell ref="G18:I18"/>
    <mergeCell ref="G16:I16"/>
    <mergeCell ref="G8:I8"/>
    <mergeCell ref="G9:I9"/>
    <mergeCell ref="G10:I10"/>
    <mergeCell ref="G11:I11"/>
    <mergeCell ref="G12:I12"/>
    <mergeCell ref="C2:I2"/>
    <mergeCell ref="G4:I4"/>
    <mergeCell ref="G5:I5"/>
    <mergeCell ref="G6:I6"/>
    <mergeCell ref="G7:I7"/>
  </mergeCells>
  <printOptions horizontalCentered="1" verticalCentered="1"/>
  <pageMargins left="0.39370078740157483" right="0.39370078740157483" top="0" bottom="0" header="0.51181102362204722" footer="0.51181102362204722"/>
  <pageSetup paperSize="9" scale="57" firstPageNumber="0" fitToHeight="3" orientation="landscape" r:id="rId1"/>
  <rowBreaks count="2" manualBreakCount="2">
    <brk id="74" min="2" max="10" man="1"/>
    <brk id="149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PCO</vt:lpstr>
      <vt:lpstr>PCO!Area_de_impressao</vt:lpstr>
      <vt:lpstr>PCO!Print_Area_0</vt:lpstr>
      <vt:lpstr>PCO!Print_Area_0_0</vt:lpstr>
      <vt:lpstr>PCO!Print_Area_0_0_0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Angelusa C A Sá Barreto</dc:creator>
  <cp:lastModifiedBy>gr</cp:lastModifiedBy>
  <cp:revision>0</cp:revision>
  <cp:lastPrinted>2019-01-23T17:40:24Z</cp:lastPrinted>
  <dcterms:created xsi:type="dcterms:W3CDTF">2000-12-19T18:05:51Z</dcterms:created>
  <dcterms:modified xsi:type="dcterms:W3CDTF">2019-01-25T17:09:17Z</dcterms:modified>
</cp:coreProperties>
</file>